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\\srvfilesponal1\DIPON\DIRAF\SUDAF\ARCON\GUCON\DIRAF - NORMA EMILSE BONILLA ROJAS\respaldo\CUENTAS\CUENTAS 2018\2018 CUENTAS NORMA\PUBLICACION TURNOS 2018\"/>
    </mc:Choice>
  </mc:AlternateContent>
  <xr:revisionPtr revIDLastSave="0" documentId="13_ncr:1_{8BB4D4F2-1696-451A-9EF6-6EF77647430B}" xr6:coauthVersionLast="40" xr6:coauthVersionMax="40" xr10:uidLastSave="{00000000-0000-0000-0000-000000000000}"/>
  <bookViews>
    <workbookView xWindow="0" yWindow="0" windowWidth="24000" windowHeight="8835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4 INVERSION" sheetId="15" r:id="rId4"/>
    <sheet name="RSRVA PRSPTAL 2018" sheetId="13" r:id="rId5"/>
  </sheets>
  <definedNames>
    <definedName name="_xlnm._FilterDatabase" localSheetId="3" hidden="1">'4 INVERSION'!$A$9:$G$43</definedName>
    <definedName name="_xlnm._FilterDatabase" localSheetId="1" hidden="1">'gstos grles SSF vig 2018'!$A$10:$DE$12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4" hidden="1">'RSRVA PRSPTAL 2018'!$A$10:$DE$10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3" l="1"/>
  <c r="A30" i="13"/>
  <c r="A31" i="13"/>
  <c r="A32" i="13"/>
  <c r="A33" i="13" s="1"/>
  <c r="A34" i="13" s="1"/>
  <c r="A35" i="13" s="1"/>
  <c r="A36" i="13" s="1"/>
  <c r="A37" i="13" s="1"/>
  <c r="A38" i="13" s="1"/>
  <c r="A39" i="13" s="1"/>
  <c r="A40" i="13" s="1"/>
  <c r="A28" i="13"/>
  <c r="A27" i="13"/>
  <c r="A25" i="13"/>
  <c r="A19" i="13"/>
  <c r="A17" i="13"/>
  <c r="A15" i="13"/>
  <c r="J39" i="13"/>
  <c r="J38" i="13"/>
  <c r="J37" i="13"/>
  <c r="J35" i="13"/>
  <c r="J34" i="13"/>
  <c r="J31" i="13"/>
  <c r="H31" i="13"/>
  <c r="J29" i="13"/>
  <c r="H29" i="13"/>
  <c r="J27" i="13"/>
  <c r="J24" i="13"/>
  <c r="J23" i="13"/>
  <c r="J20" i="13"/>
  <c r="J16" i="13"/>
  <c r="J15" i="13"/>
  <c r="J13" i="13"/>
  <c r="J11" i="13"/>
  <c r="F32" i="15"/>
  <c r="F28" i="15"/>
  <c r="F26" i="15"/>
  <c r="F19" i="15"/>
  <c r="F17" i="15"/>
  <c r="F14" i="15"/>
  <c r="F13" i="15"/>
  <c r="F12" i="15"/>
  <c r="F10" i="15"/>
  <c r="A11" i="15"/>
  <c r="A12" i="15" s="1"/>
  <c r="A14" i="15" s="1"/>
  <c r="A15" i="15" s="1"/>
  <c r="A16" i="15" s="1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21" i="10"/>
  <c r="A16" i="10"/>
  <c r="A17" i="10" s="1"/>
  <c r="A18" i="10" s="1"/>
  <c r="A19" i="10" s="1"/>
  <c r="J24" i="10"/>
  <c r="H16" i="10"/>
  <c r="J13" i="10"/>
  <c r="J12" i="10"/>
  <c r="A124" i="2"/>
  <c r="A123" i="2"/>
  <c r="J123" i="2"/>
  <c r="A120" i="2"/>
  <c r="A122" i="2" s="1"/>
  <c r="A119" i="2"/>
  <c r="A115" i="2"/>
  <c r="A111" i="2"/>
  <c r="A112" i="2"/>
  <c r="A113" i="2"/>
  <c r="A114" i="2"/>
  <c r="A110" i="2"/>
  <c r="A105" i="2"/>
  <c r="A106" i="2"/>
  <c r="A107" i="2"/>
  <c r="A108" i="2"/>
  <c r="A109" i="2" s="1"/>
  <c r="A22" i="10" l="1"/>
  <c r="A23" i="10" s="1"/>
  <c r="A24" i="10" s="1"/>
  <c r="A25" i="10" s="1"/>
  <c r="A26" i="10" s="1"/>
  <c r="A27" i="10" s="1"/>
  <c r="A28" i="10" s="1"/>
  <c r="A29" i="10" s="1"/>
  <c r="A30" i="10" s="1"/>
  <c r="A31" i="10" s="1"/>
  <c r="A99" i="2"/>
  <c r="A100" i="2" s="1"/>
  <c r="A101" i="2" s="1"/>
  <c r="A102" i="2" s="1"/>
  <c r="A103" i="2" s="1"/>
  <c r="A104" i="2" s="1"/>
  <c r="A98" i="2"/>
  <c r="A95" i="2"/>
  <c r="A88" i="2"/>
  <c r="A89" i="2"/>
  <c r="A90" i="2"/>
  <c r="A91" i="2"/>
  <c r="A92" i="2" s="1"/>
  <c r="A93" i="2" s="1"/>
  <c r="A94" i="2" s="1"/>
  <c r="A87" i="2"/>
  <c r="A85" i="2"/>
  <c r="A86" i="2"/>
  <c r="A84" i="2"/>
  <c r="A83" i="2"/>
  <c r="A81" i="2"/>
  <c r="A80" i="2"/>
  <c r="A78" i="2"/>
  <c r="A79" i="2" s="1"/>
  <c r="A76" i="2"/>
  <c r="A67" i="2"/>
  <c r="A54" i="2"/>
  <c r="A55" i="2"/>
  <c r="A56" i="2" s="1"/>
  <c r="A57" i="2" s="1"/>
  <c r="A58" i="2" s="1"/>
  <c r="A59" i="2" s="1"/>
  <c r="A53" i="2"/>
  <c r="A52" i="2"/>
  <c r="A47" i="2"/>
  <c r="A48" i="2" s="1"/>
  <c r="A49" i="2" s="1"/>
  <c r="A50" i="2" s="1"/>
  <c r="A45" i="2"/>
  <c r="A40" i="2"/>
  <c r="A39" i="2"/>
  <c r="A38" i="2"/>
  <c r="J110" i="2"/>
  <c r="J106" i="2"/>
  <c r="J105" i="2"/>
  <c r="H105" i="2"/>
  <c r="H102" i="2"/>
  <c r="J91" i="2"/>
  <c r="J87" i="2"/>
  <c r="H87" i="2"/>
  <c r="J86" i="2"/>
  <c r="J85" i="2"/>
  <c r="J83" i="2"/>
  <c r="H83" i="2"/>
  <c r="H82" i="2"/>
  <c r="H81" i="2"/>
  <c r="J78" i="2"/>
  <c r="J68" i="2"/>
  <c r="H68" i="2"/>
  <c r="J63" i="2"/>
  <c r="J59" i="2"/>
  <c r="J58" i="2"/>
  <c r="H55" i="2"/>
  <c r="J51" i="2"/>
  <c r="H51" i="2"/>
  <c r="J50" i="2"/>
  <c r="H50" i="2"/>
  <c r="J48" i="2"/>
  <c r="J47" i="2"/>
  <c r="J40" i="2"/>
  <c r="J34" i="2"/>
  <c r="J33" i="2"/>
  <c r="J25" i="2"/>
  <c r="J17" i="2"/>
  <c r="H17" i="2"/>
  <c r="J16" i="2"/>
  <c r="H16" i="2"/>
  <c r="J13" i="2"/>
  <c r="H13" i="2"/>
  <c r="J11" i="2"/>
  <c r="A12" i="2"/>
  <c r="A13" i="2" s="1"/>
  <c r="A14" i="2" s="1"/>
  <c r="A15" i="2" s="1"/>
  <c r="A16" i="2" s="1"/>
  <c r="A17" i="2" s="1"/>
  <c r="A18" i="2" s="1"/>
  <c r="A19" i="2" s="1"/>
  <c r="A97" i="2" l="1"/>
  <c r="A61" i="2"/>
  <c r="A21" i="2"/>
  <c r="A22" i="2" s="1"/>
  <c r="A12" i="13"/>
  <c r="A13" i="13" s="1"/>
  <c r="A14" i="13" s="1"/>
  <c r="A20" i="13" s="1"/>
  <c r="A21" i="13" s="1"/>
  <c r="A22" i="13" s="1"/>
  <c r="A23" i="13" s="1"/>
  <c r="A23" i="2" l="1"/>
  <c r="A24" i="2" s="1"/>
  <c r="A26" i="2" s="1"/>
  <c r="A28" i="2" s="1"/>
  <c r="A30" i="2" s="1"/>
  <c r="A31" i="2" s="1"/>
  <c r="A32" i="2" s="1"/>
  <c r="A33" i="2" s="1"/>
  <c r="A34" i="2" s="1"/>
  <c r="A35" i="2" s="1"/>
  <c r="A37" i="2" s="1"/>
  <c r="A41" i="2" s="1"/>
  <c r="A42" i="2" s="1"/>
  <c r="A43" i="2" s="1"/>
  <c r="A46" i="2" s="1"/>
  <c r="A62" i="2" s="1"/>
  <c r="A63" i="2" s="1"/>
  <c r="A64" i="2" s="1"/>
  <c r="A65" i="2" s="1"/>
  <c r="A68" i="2" s="1"/>
  <c r="A69" i="2" s="1"/>
  <c r="A70" i="2" s="1"/>
  <c r="A71" i="2" s="1"/>
  <c r="A72" i="2" s="1"/>
  <c r="A73" i="2" s="1"/>
  <c r="A74" i="2" s="1"/>
  <c r="A77" i="2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12" i="10"/>
  <c r="A13" i="10" s="1"/>
  <c r="A14" i="10" s="1"/>
  <c r="A15" i="10" s="1"/>
  <c r="H9" i="13" l="1"/>
  <c r="H9" i="11"/>
  <c r="H9" i="10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NORMA EMILCE BONILLA ROJAS</author>
  </authors>
  <commentList>
    <comment ref="B22" authorId="0" shapeId="0" xr:uid="{7578DAB0-13C1-4C3B-84FE-D793F186E867}">
      <text>
        <r>
          <rPr>
            <sz val="9"/>
            <color indexed="81"/>
            <rFont val="Tahoma"/>
            <family val="2"/>
          </rPr>
          <t xml:space="preserve">REVOCAN, CESIÓN D ECONÓMICOS, </t>
        </r>
        <r>
          <rPr>
            <b/>
            <sz val="9"/>
            <color indexed="81"/>
            <rFont val="Tahoma"/>
            <family val="2"/>
          </rPr>
          <t>CONSIGNAR A UT. 
B/COLOMBIA AHOROS
 # 188-86501826</t>
        </r>
      </text>
    </comment>
  </commentList>
</comments>
</file>

<file path=xl/sharedStrings.xml><?xml version="1.0" encoding="utf-8"?>
<sst xmlns="http://schemas.openxmlformats.org/spreadsheetml/2006/main" count="626" uniqueCount="385">
  <si>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</si>
  <si>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</si>
  <si>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</si>
  <si>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</si>
  <si>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</si>
  <si>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</si>
  <si>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</si>
  <si>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</si>
  <si>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</si>
  <si>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</si>
  <si>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</si>
  <si>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</si>
  <si>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</si>
  <si>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</si>
  <si>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</si>
  <si>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</si>
  <si>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</si>
  <si>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</si>
  <si>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</si>
  <si>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</si>
  <si>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</si>
  <si>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</si>
  <si>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SUZUKI</t>
  </si>
  <si>
    <t>CONSORCIO  HGA 149-2017</t>
  </si>
  <si>
    <t>U T CHEVROLET DIRAF 2017</t>
  </si>
  <si>
    <t>GASTOS GENERALES VIGENCIA 2018</t>
  </si>
  <si>
    <t>ANULADO</t>
  </si>
  <si>
    <t>06-7-10131-17</t>
  </si>
  <si>
    <t>COLOMBIA TELECOMUNICACIONES</t>
  </si>
  <si>
    <t>CARLOS ENRIQUE GARAVITO ARIZ</t>
  </si>
  <si>
    <t>GASTOS PERSONAL VIGENCIA 2018</t>
  </si>
  <si>
    <t>GASTOS GENERALES SSF VIGENCIA 2018</t>
  </si>
  <si>
    <t>RESERVA PRESUPUESTAL VIGENCIA 2017</t>
  </si>
  <si>
    <t>06-7-10131-17 adc# 2</t>
  </si>
  <si>
    <t>06-7-10133-17 ADC # 2</t>
  </si>
  <si>
    <t>06-7-10132-17 adc # 2</t>
  </si>
  <si>
    <t>06-3-10049-17</t>
  </si>
  <si>
    <t>CARLOS ARTURO  VERGARA NEGRETE</t>
  </si>
  <si>
    <t>06-6-10054-17</t>
  </si>
  <si>
    <t>CONSORCIO OTUN</t>
  </si>
  <si>
    <t>06-3-10060-17</t>
  </si>
  <si>
    <t>CONSORCIO SAN ANDRES 53</t>
  </si>
  <si>
    <t>ALBA LUCERO OSORIO TENJO</t>
  </si>
  <si>
    <t>FONDO ROTATORIO PONAL</t>
  </si>
  <si>
    <t>REIMPODIESEL SA.</t>
  </si>
  <si>
    <t>06-5-10124-17</t>
  </si>
  <si>
    <t>06-6-10069-18</t>
  </si>
  <si>
    <t>YOVANY ARCINIEGAS NARANJO</t>
  </si>
  <si>
    <t>06-8-10129-17</t>
  </si>
  <si>
    <t>GAS NATURAL FENOSA</t>
  </si>
  <si>
    <t>INVER SARA DE C/BIA</t>
  </si>
  <si>
    <t>06-7-10001-18</t>
  </si>
  <si>
    <t>EDWIN ROBERTO DIAZ JIMENEZ</t>
  </si>
  <si>
    <t>SAIRA CAROLINA OSPINA GUTIERREZ</t>
  </si>
  <si>
    <t>FERNANDO RAMIREZ</t>
  </si>
  <si>
    <t>INGENIERIA DE PROYECTOS  S.A.S.</t>
  </si>
  <si>
    <t>06-6-10196-16</t>
  </si>
  <si>
    <t>06-3-10199-16</t>
  </si>
  <si>
    <t>CONSORC. CONSULTORES ANDINOS</t>
  </si>
  <si>
    <t>06-7-10120-17 adc # 1</t>
  </si>
  <si>
    <t>ABCONTROL INGENIERIA</t>
  </si>
  <si>
    <t>ORDEN DE COMPRA # 26492</t>
  </si>
  <si>
    <t>SERVIASEO</t>
  </si>
  <si>
    <t>ORDEN DE COMPRA # 26492 ADC # 1</t>
  </si>
  <si>
    <t>FIRMA E&amp;C INGENIEROS LTDA</t>
  </si>
  <si>
    <t>06-7-10119-17  ADICION# 1</t>
  </si>
  <si>
    <t>06-7-10123-17 ADC # 1</t>
  </si>
  <si>
    <t>FIRMA SUCOMPUTO</t>
  </si>
  <si>
    <t>06-7-10148-17 ADC # 1</t>
  </si>
  <si>
    <t>PULXAR CONSULTING LTDA</t>
  </si>
  <si>
    <t>06-7-10006-18</t>
  </si>
  <si>
    <t>OSCAR DARÍO SASTOQUE SUAREZ</t>
  </si>
  <si>
    <t>06-7-10059-18</t>
  </si>
  <si>
    <t>06-7-10005-18</t>
  </si>
  <si>
    <t>JOSE LUIS ARIZA</t>
  </si>
  <si>
    <t>06-7-10004-18 ADC # 1</t>
  </si>
  <si>
    <t>ALBA LUZ MENDEZ PEREZ</t>
  </si>
  <si>
    <t>06-7-10002-18</t>
  </si>
  <si>
    <t>HUGO FERNANDO RIVERA MUÑOZ</t>
  </si>
  <si>
    <t>01-7-10001-18</t>
  </si>
  <si>
    <t>JENNY JOHANA OCMAPO CASATAÑEDA</t>
  </si>
  <si>
    <t>01-7-10003-18</t>
  </si>
  <si>
    <t>MARIA ELIANA GUZMAN ORTIGOZA</t>
  </si>
  <si>
    <t>01-7-10005-18</t>
  </si>
  <si>
    <t>ALIRIO BUSTOS VALENCIA</t>
  </si>
  <si>
    <t>NICOLAS ALEXANDER VALLEJO CORREA</t>
  </si>
  <si>
    <t>01-7-10004-18</t>
  </si>
  <si>
    <t>CAMILO ANDRES QUINTERO VITOLA</t>
  </si>
  <si>
    <t>LUZ ANGELA GOMEZ AGUILERA</t>
  </si>
  <si>
    <t>06-3-10013-17 adc # 1</t>
  </si>
  <si>
    <t>06-1-10078-17 adc # 1</t>
  </si>
  <si>
    <t>INVERSIONES MARTINEZ CASTRO Y CIA SAS</t>
  </si>
  <si>
    <t>06-2-10025-18</t>
  </si>
  <si>
    <t xml:space="preserve">UT SMARTMEC </t>
  </si>
  <si>
    <t>06-7-10065-18</t>
  </si>
  <si>
    <t>830143693-9</t>
  </si>
  <si>
    <t>DELTA PUBLICIDAD</t>
  </si>
  <si>
    <t>07/11/20018</t>
  </si>
  <si>
    <t>09/11/20118</t>
  </si>
  <si>
    <t>ORDEN DE COMPRA # 25348</t>
  </si>
  <si>
    <t>ORDEN DE COMPRA # 25348 ADC # 1</t>
  </si>
  <si>
    <t>ORDEN DE COMPRA # 25350</t>
  </si>
  <si>
    <t>06-7-10027-18</t>
  </si>
  <si>
    <t>PERIODICO EL MUNDO</t>
  </si>
  <si>
    <t>ORDEN DE COMPRA # 25351</t>
  </si>
  <si>
    <t>ORDEN DE COMPRA # 25351 ADC# 1</t>
  </si>
  <si>
    <t>06-7-10137-17 adc # 2</t>
  </si>
  <si>
    <t>GRAN IMAGEN SAS</t>
  </si>
  <si>
    <t>06-7-10117-17 adc # 3</t>
  </si>
  <si>
    <t>06-2-10030-18</t>
  </si>
  <si>
    <t xml:space="preserve">LUZ ADRIANA SANABRIA </t>
  </si>
  <si>
    <t>06-7-10105-17 adc # 2</t>
  </si>
  <si>
    <t>ORDEN DE COMPRA # 19559 ADICI 1</t>
  </si>
  <si>
    <t>ORGANIZACION TERPEL</t>
  </si>
  <si>
    <t>06-5-10083-18</t>
  </si>
  <si>
    <t>IMPRENTA NACIONAL DE C/BIA</t>
  </si>
  <si>
    <t>ORDEN DE COMPRA 31266</t>
  </si>
  <si>
    <t>SUBATOURS S.A.S</t>
  </si>
  <si>
    <t>VARIAS</t>
  </si>
  <si>
    <t>ORGANIZACIÓN TERPEL</t>
  </si>
  <si>
    <t>01-7-10006-18</t>
  </si>
  <si>
    <t>MIGUEL ARNULFO GUTIRREZ AREVALO</t>
  </si>
  <si>
    <t>06-7-10092-18</t>
  </si>
  <si>
    <t>RICARDO ORTIZ RAMIREZ</t>
  </si>
  <si>
    <t>cta cobro 1</t>
  </si>
  <si>
    <t>CTA COBRO 10</t>
  </si>
  <si>
    <t>01-7-10007-18 ADC # 1</t>
  </si>
  <si>
    <t>01-7-10017-18</t>
  </si>
  <si>
    <t>CTA COBRO 1</t>
  </si>
  <si>
    <t>01-7-10018-18</t>
  </si>
  <si>
    <t>06-6-10039-18</t>
  </si>
  <si>
    <t>FONDO ROTATORIO</t>
  </si>
  <si>
    <t>06-6-10044-18</t>
  </si>
  <si>
    <t>06-3-10051-18</t>
  </si>
  <si>
    <t>06-6-10037-18</t>
  </si>
  <si>
    <t>06-6-10034-18</t>
  </si>
  <si>
    <t>06-6-10067-18</t>
  </si>
  <si>
    <t>901094240-2</t>
  </si>
  <si>
    <t>06-3-10046-18</t>
  </si>
  <si>
    <t>06-6-10047-18</t>
  </si>
  <si>
    <t>06-6-10050-18</t>
  </si>
  <si>
    <t>06-3-10045-18</t>
  </si>
  <si>
    <t>06-6-10017-17 ADC # 3</t>
  </si>
  <si>
    <t>06-3-10057-17 adc # 3</t>
  </si>
  <si>
    <t>06-6-10048-18</t>
  </si>
  <si>
    <t>1</t>
  </si>
  <si>
    <t>06-3-10049-18</t>
  </si>
  <si>
    <t>ANTICIPO 30%</t>
  </si>
  <si>
    <t>06-6-10030-17</t>
  </si>
  <si>
    <t>06-3-10013-17</t>
  </si>
  <si>
    <t>06-6-10176-15</t>
  </si>
  <si>
    <t>CONSORCIO DOBLE AA</t>
  </si>
  <si>
    <t>06-6-10176-15 ADC # 2</t>
  </si>
  <si>
    <t>06-3-10172-15</t>
  </si>
  <si>
    <t xml:space="preserve">CONSORCIO SAN ANDRES </t>
  </si>
  <si>
    <t>06-3-10172-15 adc # 2</t>
  </si>
  <si>
    <t>ASIGNACION TURNOS - TRAMITE CUENTAS DE PROVEEDORES - PAGOS DICIEMBRE 2018</t>
  </si>
  <si>
    <t>10983-NC 10983</t>
  </si>
  <si>
    <t>ORDEN DE COMPRA # 29501</t>
  </si>
  <si>
    <t>SOFASA S.A.</t>
  </si>
  <si>
    <t>297718-29818-299918</t>
  </si>
  <si>
    <t>11-12 nc # 7-8</t>
  </si>
  <si>
    <t>06-2-10029-18</t>
  </si>
  <si>
    <t>MOZT DE COLOBIA</t>
  </si>
  <si>
    <t>06-2-10078-18</t>
  </si>
  <si>
    <t>IDÉNTICO SAS</t>
  </si>
  <si>
    <t>39971-40088</t>
  </si>
  <si>
    <t>06-2-10026-18</t>
  </si>
  <si>
    <t>CCIAL RINO SAS</t>
  </si>
  <si>
    <t>4531-4532</t>
  </si>
  <si>
    <t>06-1-10106-18</t>
  </si>
  <si>
    <t>MARCO TULIO GONZALEZ CAMPOS</t>
  </si>
  <si>
    <t>ORDEN DE COMPRA # 29503</t>
  </si>
  <si>
    <t>303418-303518-303618</t>
  </si>
  <si>
    <t>9312-9313-9314-9315-9316-9317-9318-9319-9320-931;0636-3534-3565</t>
  </si>
  <si>
    <t>ORDEN DE COMPRA # 29503 ADIC # 1</t>
  </si>
  <si>
    <t>303718-303918-304018</t>
  </si>
  <si>
    <t>7668-7669-7670;4601-3749-4245</t>
  </si>
  <si>
    <t>06-6-10176-15 adc # 3 mobiliario</t>
  </si>
  <si>
    <t>06-2-10072-18</t>
  </si>
  <si>
    <t>U TEMPORAL IMQ</t>
  </si>
  <si>
    <t>4</t>
  </si>
  <si>
    <t>06-7-10068-18</t>
  </si>
  <si>
    <t>SEGURIDAD PERCOL</t>
  </si>
  <si>
    <t>02318</t>
  </si>
  <si>
    <t>O. DE COMPRA # 25350 ADC # 1</t>
  </si>
  <si>
    <t>2321-2024</t>
  </si>
  <si>
    <t>06-2-10085-18</t>
  </si>
  <si>
    <t>XSYSTEM LTDA</t>
  </si>
  <si>
    <t>13 nc # 9</t>
  </si>
  <si>
    <t>06-2-10028-18</t>
  </si>
  <si>
    <t>ALMÁCEN EL CADETE</t>
  </si>
  <si>
    <t>1137 NC #1</t>
  </si>
  <si>
    <t>COLOMBIA TELECOMUNICAC</t>
  </si>
  <si>
    <r>
      <t>314518-</t>
    </r>
    <r>
      <rPr>
        <sz val="11"/>
        <rFont val="Calibri"/>
        <family val="2"/>
        <scheme val="minor"/>
      </rPr>
      <t>355918</t>
    </r>
  </si>
  <si>
    <t>000028467541ND # 1647</t>
  </si>
  <si>
    <t>06-2-10056-18</t>
  </si>
  <si>
    <t>FUNDACION EDITORES VERBO DIVINO</t>
  </si>
  <si>
    <t>06-7-10073-17 adc # 2</t>
  </si>
  <si>
    <t>0000/28470422 nd# 01648</t>
  </si>
  <si>
    <t>06-1-10105-18</t>
  </si>
  <si>
    <t>AGRÍCOLA LA BOCATOMA</t>
  </si>
  <si>
    <t>06-8-10129-17 adc # 1</t>
  </si>
  <si>
    <t>ORDEN DE COMPRA 30405</t>
  </si>
  <si>
    <t>KEY MARKET SAS.</t>
  </si>
  <si>
    <r>
      <rPr>
        <sz val="11"/>
        <color rgb="FFFF0000"/>
        <rFont val="Calibri"/>
        <family val="2"/>
        <scheme val="minor"/>
      </rPr>
      <t>326418</t>
    </r>
    <r>
      <rPr>
        <sz val="11"/>
        <rFont val="Calibri"/>
        <family val="2"/>
        <scheme val="minor"/>
      </rPr>
      <t>-364618</t>
    </r>
  </si>
  <si>
    <t>92381-398-471-464-451-486-498-566-568</t>
  </si>
  <si>
    <t>16 nc # 10</t>
  </si>
  <si>
    <t>06-2-10130-17 adc # 1</t>
  </si>
  <si>
    <t>CONSOR, GORRAS DE CALIDAD</t>
  </si>
  <si>
    <t>23 n. crédito 0001</t>
  </si>
  <si>
    <t>06-2-10074-18</t>
  </si>
  <si>
    <t>EAGLE COMERCIAL</t>
  </si>
  <si>
    <t>ORDEN DE COMPRA # 25347</t>
  </si>
  <si>
    <t>2020-2348</t>
  </si>
  <si>
    <t>O . DE COMPRA # 25347 ADC# 1</t>
  </si>
  <si>
    <t>2025-2346</t>
  </si>
  <si>
    <t>06-7-10127-17 ADC #1</t>
  </si>
  <si>
    <t>SECURITY TECH CONTROL</t>
  </si>
  <si>
    <t>ORDEN DE COMPRA 23030</t>
  </si>
  <si>
    <t>INSTITUC. STAR SERVICES LTDA</t>
  </si>
  <si>
    <t>78205-78401 ND # 75</t>
  </si>
  <si>
    <t>06-2-10061-18</t>
  </si>
  <si>
    <t>EDUARDO LONDOÑO</t>
  </si>
  <si>
    <t>1005502-1005500</t>
  </si>
  <si>
    <t>17 nc # 11</t>
  </si>
  <si>
    <t>06-6-10069-18 ADC # 1</t>
  </si>
  <si>
    <t>13322-13331</t>
  </si>
  <si>
    <t>248 A 269</t>
  </si>
  <si>
    <t>237 -238-239-240-241-242-243-244-245-246-247-248-253-255</t>
  </si>
  <si>
    <t>06-7-10132-17 ADC # 3</t>
  </si>
  <si>
    <t xml:space="preserve">INVERSIONES SARA DE COLOMBIA S.A.S. </t>
  </si>
  <si>
    <t>UT. LLANTAS MILITARES 2018</t>
  </si>
  <si>
    <t>1-2-3</t>
  </si>
  <si>
    <t>06-7-10095-18</t>
  </si>
  <si>
    <t>CI . COLOMBIAOUTLET SAS</t>
  </si>
  <si>
    <t>06-2-10077-18</t>
  </si>
  <si>
    <t>FIGURAZIONE S.A.S</t>
  </si>
  <si>
    <t>ENMIENDA LOA CO-B-BNM</t>
  </si>
  <si>
    <t>GOBIERNO DE EEUU</t>
  </si>
  <si>
    <t>06-5-10120-18</t>
  </si>
  <si>
    <t>ANEXO 2 PÓLIZA SEGURO TODO RIESGO</t>
  </si>
  <si>
    <t>UT. ASEGURAD.SOLIDARIA DE C/BIA-SBS SEGUROS-GENERALI C/BIA</t>
  </si>
  <si>
    <t>ANEXO 3 PÓLIZA SEGURO TODO RIESGO</t>
  </si>
  <si>
    <t>ANEXO 1 PÓLIZA SEGURO RCE</t>
  </si>
  <si>
    <t>LA PREVISORA CIA DE SEGUROS</t>
  </si>
  <si>
    <t>06-6-10107-17</t>
  </si>
  <si>
    <t xml:space="preserve">KA S.A. </t>
  </si>
  <si>
    <t>107108-122-6927-7130-6919-7139-1883-1889-1897-1901-1912-1922-1934-7108-7125-7134-7158-1886-1894-1909-1918-1930-1930; nc 95154-153-671-691-682-683-685-686-687-684; 1105713-0043-0047-0059-0073-00125-00133-0139-8845-0045-0046-0065-00130-00137-nc# 95565</t>
  </si>
  <si>
    <t>06-7-10081-18</t>
  </si>
  <si>
    <t>REDDIN ASSESSMENTS</t>
  </si>
  <si>
    <t>ANEXO 1 PÓLIZA TODO RIESGO D. MATERIAL</t>
  </si>
  <si>
    <t>UT. MAPHRE SEGUROS-AXA -SBS</t>
  </si>
  <si>
    <t>9201218002013 NC</t>
  </si>
  <si>
    <t xml:space="preserve">ORDEN DE COMPRA # 25541  ADC # 2 </t>
  </si>
  <si>
    <t>LA PREVISORA</t>
  </si>
  <si>
    <t>1010704-705-714</t>
  </si>
  <si>
    <t>ORDEN DE COMPRA # 25541  ADC # 3</t>
  </si>
  <si>
    <t>1010705-10883-10885</t>
  </si>
  <si>
    <t>CCIALIZADORA TEXMAN SAS</t>
  </si>
  <si>
    <t>356118-356218</t>
  </si>
  <si>
    <t>2078-2079</t>
  </si>
  <si>
    <t>CTA COBRO # A0200</t>
  </si>
  <si>
    <t>06-5-10093-18</t>
  </si>
  <si>
    <t>COOPERATIVA MULTIACTIVA-COOPAMER</t>
  </si>
  <si>
    <t>965 nc #965</t>
  </si>
  <si>
    <t>18 nc # 12</t>
  </si>
  <si>
    <t>06-5-10013-18</t>
  </si>
  <si>
    <t>40-57</t>
  </si>
  <si>
    <t>06-2-10074-18  adc # 1</t>
  </si>
  <si>
    <t>06-1-10129-18</t>
  </si>
  <si>
    <t>PROVALOR SAS</t>
  </si>
  <si>
    <t>000028493240 ND # 01649</t>
  </si>
  <si>
    <t>0000/28496078 nd# 01651</t>
  </si>
  <si>
    <t>06-2-10055-18 ADC # 1</t>
  </si>
  <si>
    <t>FIRMA NICHOLL´S ANTIMOTIN</t>
  </si>
  <si>
    <t>06-7-10087-18</t>
  </si>
  <si>
    <t>VERTICAL MOUNTS SERVICES SA.S</t>
  </si>
  <si>
    <t>06-7-10027-18 ADC # 1</t>
  </si>
  <si>
    <t>06-7-10073-18</t>
  </si>
  <si>
    <t>REPRES. CONSTRUCTIVAS</t>
  </si>
  <si>
    <t>06-8-10129-17 ADC # 1</t>
  </si>
  <si>
    <t>GAS NATURAL DEL CENTRO</t>
  </si>
  <si>
    <t>ORDEN DE COMPRA 31620</t>
  </si>
  <si>
    <t>78568-575-579-580-834-8573-8815-8826-8827-8828-8831-8833-8835-8940-80998-81069-82974-82978-82981-82985-84264 nc # 337852</t>
  </si>
  <si>
    <t>CTA COBRO # A0205</t>
  </si>
  <si>
    <t>06-1-10113-18</t>
  </si>
  <si>
    <t>INVE, MARTINEZ</t>
  </si>
  <si>
    <t>2210-2214</t>
  </si>
  <si>
    <t>33-35-36-37 N CTBILIDAD; 478-478-2-5-480-479-2-6</t>
  </si>
  <si>
    <t>06-7-10116-18</t>
  </si>
  <si>
    <t>ADVANTECH WIRELESS C/BIA</t>
  </si>
  <si>
    <t>0061</t>
  </si>
  <si>
    <t>19-20  NC #13-14</t>
  </si>
  <si>
    <r>
      <t>367618-</t>
    </r>
    <r>
      <rPr>
        <sz val="11"/>
        <rFont val="Calibri"/>
        <family val="2"/>
        <scheme val="minor"/>
      </rPr>
      <t>379918</t>
    </r>
  </si>
  <si>
    <t>89123-131-137-164-165-166-167-257-258-259-263-267-288-908-909-910-914-915-918-619-920-921-9233 NC# 37851</t>
  </si>
  <si>
    <t>06-2-10111-18</t>
  </si>
  <si>
    <t>EDUARDOÑO SA.S.</t>
  </si>
  <si>
    <t>1009305-9306</t>
  </si>
  <si>
    <t>ORDEN DE COMPRA 32657</t>
  </si>
  <si>
    <t>LADOINSA SAS</t>
  </si>
  <si>
    <t>06-7-10020-18</t>
  </si>
  <si>
    <t xml:space="preserve">GEOSYSTEM INGENIER. </t>
  </si>
  <si>
    <t>ACUERDO DE EVNTA # 580063-2018 800141397</t>
  </si>
  <si>
    <t>ACUERDO DE VENTA</t>
  </si>
  <si>
    <t>464-2-;464-1</t>
  </si>
  <si>
    <t>06-2-10016-18</t>
  </si>
  <si>
    <t>SIG SAUER-ANCLA</t>
  </si>
  <si>
    <t>7M GROUP S.A.</t>
  </si>
  <si>
    <t>1040-1041-1042-1043-1044; 1045</t>
  </si>
  <si>
    <t>2050-2052-53-54-55-56-57-58-59-60-61-62-2207-2208-2209-5469-24701-3318-3319-3320-3321-3322-3323-3325-3326</t>
  </si>
  <si>
    <t>06-7-10131-17 adc# 3</t>
  </si>
  <si>
    <t>06-7-10131-17 adc# 4</t>
  </si>
  <si>
    <t>06-7-10132-17 ADC # 4</t>
  </si>
  <si>
    <t>249-250-251-252-256-257-260-261-262-263-264-265.267</t>
  </si>
  <si>
    <t>06-7-10133-17 ADC # 3</t>
  </si>
  <si>
    <t>271-272-273-74-77-78-80-82-83-84-85-88-290-291-292</t>
  </si>
  <si>
    <t>06-7-10133-17 ADC # 4</t>
  </si>
  <si>
    <t>06-2-10126-18</t>
  </si>
  <si>
    <t>DESCONT S.A.S</t>
  </si>
  <si>
    <t>06-2-10121-18</t>
  </si>
  <si>
    <t>102 NC # 88</t>
  </si>
  <si>
    <t>06-2-10076-18</t>
  </si>
  <si>
    <t>FIRMA M.G. SUBER &amp; ASSOCIATES LLC</t>
  </si>
  <si>
    <t xml:space="preserve">06-6-10176-15 adc # 3 </t>
  </si>
  <si>
    <t xml:space="preserve">ORDEN DE COMPRA # 25391, </t>
  </si>
  <si>
    <t xml:space="preserve">06-8-10090-18 </t>
  </si>
  <si>
    <r>
      <t>06-2-10058-18</t>
    </r>
    <r>
      <rPr>
        <sz val="11"/>
        <color rgb="FFFF0000"/>
        <rFont val="Calibri"/>
        <family val="2"/>
        <scheme val="minor"/>
      </rPr>
      <t xml:space="preserve"> </t>
    </r>
  </si>
  <si>
    <t>ORDEN DE COMPRA # 26444</t>
  </si>
  <si>
    <r>
      <t>314618-356018-</t>
    </r>
    <r>
      <rPr>
        <sz val="11"/>
        <rFont val="Calibri"/>
        <family val="2"/>
        <scheme val="minor"/>
      </rPr>
      <t>356618</t>
    </r>
  </si>
  <si>
    <t>000028467541 nd # 01647</t>
  </si>
  <si>
    <t>9018084263 NC# 7000336978</t>
  </si>
  <si>
    <r>
      <rPr>
        <sz val="11"/>
        <color rgb="FFFF0000"/>
        <rFont val="Calibri"/>
        <family val="2"/>
        <scheme val="minor"/>
      </rPr>
      <t>326518</t>
    </r>
    <r>
      <rPr>
        <sz val="11"/>
        <rFont val="Calibri"/>
        <family val="2"/>
        <scheme val="minor"/>
      </rPr>
      <t>-364718</t>
    </r>
  </si>
  <si>
    <t>06-5-10007-18</t>
  </si>
  <si>
    <t>06-7-10132-17 adc # 3</t>
  </si>
  <si>
    <t>06-7-10133-17 ADC # 5</t>
  </si>
  <si>
    <t>06-5-10110-17</t>
  </si>
  <si>
    <t>IMPRENTA NA L DE C/BIA</t>
  </si>
  <si>
    <t>89564-91347-490-672-655-92255-306-637</t>
  </si>
  <si>
    <t>01-7-10016-18</t>
  </si>
  <si>
    <t>BRAYAN GIOVANNY HERNANDEZ AMAYA</t>
  </si>
  <si>
    <t>06-7-10003-18</t>
  </si>
  <si>
    <t>ROSA DE LOS ANGELES AYALA</t>
  </si>
  <si>
    <t>cta cobro 2</t>
  </si>
  <si>
    <t>01-7-10019-18</t>
  </si>
  <si>
    <t>MARIA ANGELICA OTERO MERCADO</t>
  </si>
  <si>
    <t>CTA COBRO 5</t>
  </si>
  <si>
    <t>CTA COBRO 11</t>
  </si>
  <si>
    <t>CTA COBRO 2</t>
  </si>
  <si>
    <t>01-7-10002-18 ADC # 1</t>
  </si>
  <si>
    <r>
      <t xml:space="preserve">90117739, </t>
    </r>
    <r>
      <rPr>
        <sz val="11"/>
        <color rgb="FFFF0000"/>
        <rFont val="Calibri"/>
        <family val="2"/>
        <scheme val="minor"/>
      </rPr>
      <t>al sr. Aurelio 19206114</t>
    </r>
  </si>
  <si>
    <t>06-3-10041-18</t>
  </si>
  <si>
    <t>025</t>
  </si>
  <si>
    <t>3</t>
  </si>
  <si>
    <t>1358-1359</t>
  </si>
  <si>
    <r>
      <rPr>
        <sz val="11"/>
        <color rgb="FFFF0000"/>
        <rFont val="Calibri"/>
        <family val="2"/>
        <scheme val="minor"/>
      </rPr>
      <t>393</t>
    </r>
    <r>
      <rPr>
        <sz val="11"/>
        <rFont val="Calibri"/>
        <family val="2"/>
        <scheme val="minor"/>
      </rPr>
      <t>-394</t>
    </r>
  </si>
  <si>
    <t>06-6-10037-18 ADC # 1</t>
  </si>
  <si>
    <t>06-2-10054-18</t>
  </si>
  <si>
    <t>06-6-10030-17 adc # 1</t>
  </si>
  <si>
    <t>5</t>
  </si>
  <si>
    <t>06-7-10098-18</t>
  </si>
  <si>
    <t>06-6-10061-17 Adición # 1 MOBILIARIO</t>
  </si>
  <si>
    <t>CONSORCIO F3</t>
  </si>
  <si>
    <t>06-3-10060-17 adc # 1</t>
  </si>
  <si>
    <t>06-6-10061-17</t>
  </si>
  <si>
    <r>
      <t>248118-</t>
    </r>
    <r>
      <rPr>
        <sz val="11"/>
        <rFont val="Calibri"/>
        <family val="2"/>
        <scheme val="minor"/>
      </rPr>
      <t>297418</t>
    </r>
  </si>
  <si>
    <t>C20 - C21</t>
  </si>
  <si>
    <r>
      <t xml:space="preserve">06-2-10106-17 </t>
    </r>
    <r>
      <rPr>
        <sz val="11"/>
        <color rgb="FFFF0000"/>
        <rFont val="Calibri"/>
        <family val="2"/>
        <scheme val="minor"/>
      </rPr>
      <t>pagar a ITELCA 800.002.942</t>
    </r>
  </si>
  <si>
    <t>UT DIRAF SEGURA 2017</t>
  </si>
  <si>
    <t>006</t>
  </si>
  <si>
    <t>06-2-10151-17</t>
  </si>
  <si>
    <t>UT  PLACAS BALISTICAS</t>
  </si>
  <si>
    <r>
      <t>339818-</t>
    </r>
    <r>
      <rPr>
        <sz val="11"/>
        <rFont val="Calibri"/>
        <family val="2"/>
        <scheme val="minor"/>
      </rPr>
      <t>349318</t>
    </r>
  </si>
  <si>
    <t>774-772-781 nc # 21</t>
  </si>
  <si>
    <t>34-35</t>
  </si>
  <si>
    <t>06-6-10125-16 ADC # 2</t>
  </si>
  <si>
    <t xml:space="preserve">CONSORCIO SAN FRANCISCO </t>
  </si>
  <si>
    <t xml:space="preserve">ORDEN DE COMPRA # 20807 </t>
  </si>
  <si>
    <t>UT A4-2015</t>
  </si>
  <si>
    <t>06-5-10124-17 adc # 2</t>
  </si>
  <si>
    <t>6578 nd # 477-477(2)</t>
  </si>
  <si>
    <t>39 nc#1</t>
  </si>
  <si>
    <t>695 nc# 1</t>
  </si>
  <si>
    <r>
      <t xml:space="preserve">06-3-10141-15 </t>
    </r>
    <r>
      <rPr>
        <sz val="11"/>
        <color rgb="FFFF0000"/>
        <rFont val="Calibri"/>
        <family val="2"/>
        <scheme val="minor"/>
      </rPr>
      <t>vig, expiaradas</t>
    </r>
  </si>
  <si>
    <r>
      <t xml:space="preserve">ORDEN DE COMPRA # 21122 </t>
    </r>
    <r>
      <rPr>
        <sz val="10"/>
        <color indexed="8"/>
        <rFont val="Calibri"/>
        <family val="2"/>
      </rPr>
      <t xml:space="preserve">adc # 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</si>
</sst>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0" fontId="3" fillId="3" borderId="1" xfId="0" applyFont="1" applyFill="1" applyBorder="1" applyAlignment="1">
      <alignment horizontal="center"/>
    </xf>
    <xf numFmtId="167" fontId="3" fillId="3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167" fontId="3" fillId="0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41" fontId="3" fillId="7" borderId="1" xfId="94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0" fontId="3" fillId="8" borderId="1" xfId="0" applyFont="1" applyFill="1" applyBorder="1" applyAlignment="1">
      <alignment horizontal="right" vertical="center"/>
    </xf>
    <xf numFmtId="43" fontId="3" fillId="8" borderId="1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right"/>
    </xf>
    <xf numFmtId="0" fontId="3" fillId="8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right" wrapText="1"/>
    </xf>
    <xf numFmtId="1" fontId="3" fillId="8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1" xfId="941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3" fontId="6" fillId="0" borderId="0" xfId="1" applyFont="1" applyFill="1" applyAlignment="1" applyProtection="1">
      <alignment horizontal="center"/>
      <protection hidden="1"/>
    </xf>
    <xf numFmtId="0" fontId="3" fillId="3" borderId="1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 wrapText="1"/>
    </xf>
    <xf numFmtId="0" fontId="3" fillId="9" borderId="1" xfId="0" applyFont="1" applyFill="1" applyBorder="1"/>
    <xf numFmtId="167" fontId="3" fillId="9" borderId="1" xfId="94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1" applyFont="1" applyFill="1" applyBorder="1"/>
    <xf numFmtId="15" fontId="3" fillId="0" borderId="1" xfId="0" applyNumberFormat="1" applyFont="1" applyFill="1" applyBorder="1"/>
    <xf numFmtId="167" fontId="3" fillId="0" borderId="1" xfId="941" applyNumberFormat="1" applyFont="1" applyFill="1" applyBorder="1"/>
    <xf numFmtId="165" fontId="3" fillId="0" borderId="1" xfId="6" applyFont="1" applyFill="1" applyBorder="1"/>
    <xf numFmtId="0" fontId="18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43" fontId="7" fillId="0" borderId="0" xfId="1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43" fontId="3" fillId="3" borderId="1" xfId="1" applyFont="1" applyFill="1" applyBorder="1"/>
    <xf numFmtId="167" fontId="3" fillId="3" borderId="1" xfId="941" applyNumberFormat="1" applyFont="1" applyFill="1" applyBorder="1"/>
    <xf numFmtId="166" fontId="3" fillId="3" borderId="1" xfId="4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15" fontId="3" fillId="7" borderId="1" xfId="0" applyNumberFormat="1" applyFont="1" applyFill="1" applyBorder="1" applyAlignment="1">
      <alignment wrapText="1"/>
    </xf>
    <xf numFmtId="167" fontId="3" fillId="7" borderId="1" xfId="941" applyNumberFormat="1" applyFont="1" applyFill="1" applyBorder="1" applyAlignment="1">
      <alignment horizontal="right"/>
    </xf>
    <xf numFmtId="0" fontId="3" fillId="7" borderId="1" xfId="941" quotePrefix="1" applyNumberFormat="1" applyFont="1" applyFill="1" applyBorder="1" applyAlignment="1">
      <alignment horizontal="center"/>
    </xf>
    <xf numFmtId="44" fontId="3" fillId="7" borderId="1" xfId="17" applyFont="1" applyFill="1" applyBorder="1"/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/>
    <xf numFmtId="41" fontId="0" fillId="7" borderId="1" xfId="941" applyFont="1" applyFill="1" applyBorder="1" applyAlignment="1">
      <alignment horizontal="right"/>
    </xf>
    <xf numFmtId="0" fontId="0" fillId="7" borderId="1" xfId="0" quotePrefix="1" applyFont="1" applyFill="1" applyBorder="1" applyAlignment="1">
      <alignment horizontal="center"/>
    </xf>
    <xf numFmtId="43" fontId="0" fillId="7" borderId="1" xfId="1" applyFont="1" applyFill="1" applyBorder="1" applyAlignment="1">
      <alignment horizontal="right"/>
    </xf>
    <xf numFmtId="15" fontId="3" fillId="7" borderId="1" xfId="0" applyNumberFormat="1" applyFont="1" applyFill="1" applyBorder="1"/>
    <xf numFmtId="0" fontId="0" fillId="7" borderId="1" xfId="0" applyFont="1" applyFill="1" applyBorder="1" applyAlignment="1">
      <alignment horizontal="right"/>
    </xf>
    <xf numFmtId="166" fontId="3" fillId="7" borderId="1" xfId="4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43" fontId="3" fillId="7" borderId="1" xfId="1" applyFont="1" applyFill="1" applyBorder="1"/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/>
    <xf numFmtId="165" fontId="3" fillId="8" borderId="1" xfId="6" applyFont="1" applyFill="1" applyBorder="1"/>
    <xf numFmtId="167" fontId="3" fillId="8" borderId="1" xfId="0" applyNumberFormat="1" applyFont="1" applyFill="1" applyBorder="1"/>
    <xf numFmtId="43" fontId="3" fillId="8" borderId="1" xfId="1" applyFont="1" applyFill="1" applyBorder="1"/>
    <xf numFmtId="14" fontId="3" fillId="3" borderId="1" xfId="0" applyNumberFormat="1" applyFont="1" applyFill="1" applyBorder="1"/>
    <xf numFmtId="14" fontId="3" fillId="8" borderId="1" xfId="0" applyNumberFormat="1" applyFont="1" applyFill="1" applyBorder="1"/>
    <xf numFmtId="0" fontId="3" fillId="8" borderId="1" xfId="0" applyFont="1" applyFill="1" applyBorder="1" applyAlignment="1">
      <alignment horizontal="left" vertical="center"/>
    </xf>
    <xf numFmtId="15" fontId="3" fillId="8" borderId="1" xfId="0" applyNumberFormat="1" applyFont="1" applyFill="1" applyBorder="1"/>
    <xf numFmtId="43" fontId="3" fillId="8" borderId="1" xfId="1" applyNumberFormat="1" applyFont="1" applyFill="1" applyBorder="1"/>
    <xf numFmtId="166" fontId="3" fillId="8" borderId="1" xfId="4" applyFont="1" applyFill="1" applyBorder="1"/>
    <xf numFmtId="44" fontId="3" fillId="8" borderId="1" xfId="0" applyNumberFormat="1" applyFont="1" applyFill="1" applyBorder="1"/>
    <xf numFmtId="0" fontId="3" fillId="8" borderId="1" xfId="0" applyFont="1" applyFill="1" applyBorder="1" applyAlignment="1">
      <alignment vertical="center" wrapText="1"/>
    </xf>
    <xf numFmtId="167" fontId="3" fillId="8" borderId="1" xfId="1" applyNumberFormat="1" applyFont="1" applyFill="1" applyBorder="1"/>
    <xf numFmtId="14" fontId="3" fillId="7" borderId="1" xfId="0" applyNumberFormat="1" applyFont="1" applyFill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0" fontId="3" fillId="8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right"/>
    </xf>
    <xf numFmtId="0" fontId="19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43" fontId="3" fillId="9" borderId="1" xfId="1" applyFont="1" applyFill="1" applyBorder="1" applyAlignment="1">
      <alignment horizontal="right"/>
    </xf>
    <xf numFmtId="14" fontId="10" fillId="0" borderId="0" xfId="0" applyNumberFormat="1" applyFont="1" applyFill="1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/>
    <xf numFmtId="14" fontId="10" fillId="0" borderId="8" xfId="0" applyNumberFormat="1" applyFont="1" applyFill="1" applyBorder="1"/>
    <xf numFmtId="167" fontId="3" fillId="5" borderId="8" xfId="941" applyNumberFormat="1" applyFont="1" applyFill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0" fontId="3" fillId="0" borderId="8" xfId="0" applyFont="1" applyFill="1" applyBorder="1"/>
    <xf numFmtId="43" fontId="3" fillId="0" borderId="1" xfId="1" applyFont="1" applyFill="1" applyBorder="1" applyAlignment="1">
      <alignment horizontal="center"/>
    </xf>
    <xf numFmtId="166" fontId="0" fillId="3" borderId="1" xfId="4" applyFont="1" applyFill="1" applyBorder="1"/>
    <xf numFmtId="0" fontId="1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/>
    <xf numFmtId="15" fontId="3" fillId="3" borderId="1" xfId="0" applyNumberFormat="1" applyFont="1" applyFill="1" applyBorder="1" applyAlignment="1"/>
    <xf numFmtId="0" fontId="0" fillId="3" borderId="1" xfId="0" applyFont="1" applyFill="1" applyBorder="1" applyAlignment="1"/>
    <xf numFmtId="167" fontId="0" fillId="3" borderId="1" xfId="941" applyNumberFormat="1" applyFont="1" applyFill="1" applyBorder="1" applyAlignment="1">
      <alignment horizontal="right"/>
    </xf>
    <xf numFmtId="0" fontId="0" fillId="3" borderId="1" xfId="0" applyFont="1" applyFill="1" applyBorder="1"/>
    <xf numFmtId="15" fontId="3" fillId="3" borderId="1" xfId="0" applyNumberFormat="1" applyFont="1" applyFill="1" applyBorder="1" applyAlignment="1">
      <alignment vertical="center"/>
    </xf>
    <xf numFmtId="41" fontId="3" fillId="7" borderId="1" xfId="941" applyFont="1" applyFill="1" applyBorder="1"/>
    <xf numFmtId="0" fontId="3" fillId="7" borderId="1" xfId="0" applyFont="1" applyFill="1" applyBorder="1" applyAlignment="1">
      <alignment horizontal="center"/>
    </xf>
    <xf numFmtId="41" fontId="0" fillId="7" borderId="1" xfId="941" applyFont="1" applyFill="1" applyBorder="1"/>
    <xf numFmtId="0" fontId="22" fillId="8" borderId="1" xfId="0" applyFont="1" applyFill="1" applyBorder="1"/>
    <xf numFmtId="44" fontId="3" fillId="8" borderId="1" xfId="3509" applyFont="1" applyFill="1" applyBorder="1"/>
    <xf numFmtId="1" fontId="3" fillId="9" borderId="1" xfId="94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/>
    </xf>
    <xf numFmtId="15" fontId="3" fillId="8" borderId="1" xfId="0" applyNumberFormat="1" applyFont="1" applyFill="1" applyBorder="1" applyAlignment="1">
      <alignment horizontal="right"/>
    </xf>
    <xf numFmtId="15" fontId="3" fillId="8" borderId="2" xfId="0" applyNumberFormat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0" fontId="3" fillId="8" borderId="2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15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15" fontId="3" fillId="8" borderId="1" xfId="0" applyNumberFormat="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vertical="center"/>
    </xf>
    <xf numFmtId="0" fontId="3" fillId="0" borderId="1" xfId="1" quotePrefix="1" applyNumberFormat="1" applyFont="1" applyFill="1" applyBorder="1" applyAlignment="1">
      <alignment horizontal="center"/>
    </xf>
    <xf numFmtId="0" fontId="3" fillId="9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167" fontId="3" fillId="9" borderId="1" xfId="941" applyNumberFormat="1" applyFont="1" applyFill="1" applyBorder="1" applyAlignment="1">
      <alignment horizontal="right" wrapText="1"/>
    </xf>
    <xf numFmtId="0" fontId="3" fillId="9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1" quotePrefix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right" vertical="center"/>
    </xf>
    <xf numFmtId="15" fontId="3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1" quotePrefix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166" fontId="0" fillId="0" borderId="1" xfId="4" applyFont="1" applyFill="1" applyBorder="1"/>
    <xf numFmtId="15" fontId="3" fillId="0" borderId="2" xfId="0" applyNumberFormat="1" applyFont="1" applyFill="1" applyBorder="1" applyAlignment="1">
      <alignment horizontal="right"/>
    </xf>
    <xf numFmtId="15" fontId="3" fillId="0" borderId="4" xfId="0" applyNumberFormat="1" applyFont="1" applyFill="1" applyBorder="1" applyAlignment="1">
      <alignment horizontal="right"/>
    </xf>
    <xf numFmtId="0" fontId="0" fillId="0" borderId="1" xfId="0" applyFont="1" applyBorder="1" applyAlignment="1">
      <alignment vertical="center"/>
    </xf>
    <xf numFmtId="165" fontId="3" fillId="0" borderId="1" xfId="6" applyFont="1" applyFill="1" applyBorder="1" applyAlignment="1">
      <alignment horizontal="center"/>
    </xf>
    <xf numFmtId="15" fontId="3" fillId="0" borderId="1" xfId="0" applyNumberFormat="1" applyFont="1" applyFill="1" applyBorder="1" applyAlignment="1"/>
    <xf numFmtId="43" fontId="3" fillId="0" borderId="1" xfId="1" quotePrefix="1" applyFont="1" applyFill="1" applyBorder="1" applyAlignment="1"/>
    <xf numFmtId="0" fontId="3" fillId="0" borderId="1" xfId="1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166" fontId="3" fillId="0" borderId="1" xfId="4" applyFont="1" applyFill="1" applyBorder="1"/>
    <xf numFmtId="0" fontId="3" fillId="0" borderId="2" xfId="0" applyFont="1" applyFill="1" applyBorder="1" applyAlignment="1">
      <alignment vertical="center"/>
    </xf>
    <xf numFmtId="0" fontId="3" fillId="0" borderId="1" xfId="1" quotePrefix="1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/>
    <xf numFmtId="0" fontId="22" fillId="0" borderId="1" xfId="0" applyFont="1" applyBorder="1" applyAlignment="1">
      <alignment horizontal="left" vertical="center"/>
    </xf>
    <xf numFmtId="0" fontId="22" fillId="0" borderId="1" xfId="0" applyFont="1" applyBorder="1"/>
    <xf numFmtId="166" fontId="20" fillId="0" borderId="1" xfId="4" applyFont="1" applyFill="1" applyBorder="1"/>
    <xf numFmtId="0" fontId="22" fillId="0" borderId="2" xfId="0" applyFont="1" applyBorder="1" applyAlignment="1">
      <alignment vertical="center"/>
    </xf>
    <xf numFmtId="0" fontId="19" fillId="0" borderId="2" xfId="0" applyFont="1" applyFill="1" applyBorder="1" applyAlignment="1">
      <alignment horizontal="right"/>
    </xf>
    <xf numFmtId="0" fontId="22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right"/>
    </xf>
    <xf numFmtId="0" fontId="22" fillId="0" borderId="4" xfId="0" applyFont="1" applyBorder="1" applyAlignment="1">
      <alignment horizontal="left"/>
    </xf>
    <xf numFmtId="43" fontId="3" fillId="0" borderId="4" xfId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6" fontId="18" fillId="0" borderId="1" xfId="4" applyFont="1" applyFill="1" applyBorder="1"/>
    <xf numFmtId="0" fontId="19" fillId="0" borderId="0" xfId="0" applyFont="1" applyFill="1"/>
    <xf numFmtId="15" fontId="19" fillId="0" borderId="1" xfId="0" applyNumberFormat="1" applyFont="1" applyFill="1" applyBorder="1" applyAlignment="1"/>
    <xf numFmtId="0" fontId="19" fillId="0" borderId="1" xfId="0" applyFont="1" applyFill="1" applyBorder="1" applyAlignment="1">
      <alignment horizontal="right"/>
    </xf>
    <xf numFmtId="167" fontId="19" fillId="0" borderId="1" xfId="941" applyNumberFormat="1" applyFont="1" applyFill="1" applyBorder="1" applyAlignment="1">
      <alignment horizontal="right"/>
    </xf>
    <xf numFmtId="0" fontId="19" fillId="0" borderId="1" xfId="1" applyNumberFormat="1" applyFont="1" applyFill="1" applyBorder="1" applyAlignment="1">
      <alignment horizontal="center" wrapText="1"/>
    </xf>
    <xf numFmtId="166" fontId="19" fillId="0" borderId="1" xfId="4" applyFont="1" applyFill="1" applyBorder="1"/>
    <xf numFmtId="0" fontId="3" fillId="0" borderId="4" xfId="0" applyFont="1" applyFill="1" applyBorder="1" applyAlignment="1">
      <alignment horizontal="righ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/>
    <xf numFmtId="43" fontId="3" fillId="0" borderId="1" xfId="1" applyFont="1" applyFill="1" applyBorder="1" applyAlignment="1"/>
    <xf numFmtId="0" fontId="0" fillId="0" borderId="2" xfId="0" applyFont="1" applyBorder="1" applyAlignment="1">
      <alignment horizontal="left"/>
    </xf>
    <xf numFmtId="0" fontId="3" fillId="0" borderId="2" xfId="1" quotePrefix="1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3" fillId="0" borderId="5" xfId="1" quotePrefix="1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3" fillId="0" borderId="4" xfId="1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wrapText="1"/>
    </xf>
    <xf numFmtId="0" fontId="15" fillId="0" borderId="5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right"/>
    </xf>
    <xf numFmtId="43" fontId="0" fillId="3" borderId="1" xfId="1" applyFont="1" applyFill="1" applyBorder="1"/>
    <xf numFmtId="0" fontId="3" fillId="0" borderId="5" xfId="0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/>
    <xf numFmtId="14" fontId="3" fillId="0" borderId="1" xfId="1" applyNumberFormat="1" applyFont="1" applyFill="1" applyBorder="1" applyAlignment="1">
      <alignment horizontal="right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1" fontId="3" fillId="3" borderId="1" xfId="941" quotePrefix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vertical="center" wrapText="1"/>
    </xf>
    <xf numFmtId="41" fontId="3" fillId="3" borderId="1" xfId="94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4" fontId="0" fillId="3" borderId="1" xfId="0" applyNumberFormat="1" applyFont="1" applyFill="1" applyBorder="1" applyAlignment="1">
      <alignment vertical="center"/>
    </xf>
    <xf numFmtId="165" fontId="3" fillId="3" borderId="1" xfId="6" applyFont="1" applyFill="1" applyBorder="1" applyAlignment="1">
      <alignment horizontal="center"/>
    </xf>
    <xf numFmtId="43" fontId="3" fillId="3" borderId="1" xfId="1" quotePrefix="1" applyFont="1" applyFill="1" applyBorder="1" applyAlignment="1"/>
    <xf numFmtId="43" fontId="3" fillId="3" borderId="1" xfId="1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3" borderId="1" xfId="941" quotePrefix="1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wrapText="1"/>
    </xf>
    <xf numFmtId="43" fontId="3" fillId="3" borderId="1" xfId="1" quotePrefix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3" borderId="1" xfId="941" applyNumberFormat="1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15" fontId="3" fillId="0" borderId="1" xfId="0" applyNumberFormat="1" applyFont="1" applyFill="1" applyBorder="1" applyAlignment="1">
      <alignment wrapText="1"/>
    </xf>
    <xf numFmtId="15" fontId="3" fillId="0" borderId="2" xfId="0" applyNumberFormat="1" applyFont="1" applyFill="1" applyBorder="1" applyAlignment="1">
      <alignment horizontal="right" wrapText="1"/>
    </xf>
    <xf numFmtId="15" fontId="3" fillId="0" borderId="5" xfId="0" applyNumberFormat="1" applyFont="1" applyFill="1" applyBorder="1" applyAlignment="1">
      <alignment horizontal="right" wrapText="1"/>
    </xf>
    <xf numFmtId="15" fontId="3" fillId="0" borderId="4" xfId="0" applyNumberFormat="1" applyFont="1" applyFill="1" applyBorder="1" applyAlignment="1">
      <alignment horizontal="right" wrapText="1"/>
    </xf>
    <xf numFmtId="14" fontId="0" fillId="0" borderId="2" xfId="0" applyNumberFormat="1" applyFont="1" applyFill="1" applyBorder="1" applyAlignment="1">
      <alignment horizontal="right" wrapText="1"/>
    </xf>
    <xf numFmtId="14" fontId="0" fillId="0" borderId="4" xfId="0" applyNumberFormat="1" applyFont="1" applyFill="1" applyBorder="1" applyAlignment="1">
      <alignment horizontal="right" wrapText="1"/>
    </xf>
    <xf numFmtId="43" fontId="1" fillId="0" borderId="0" xfId="1" applyFont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/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/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 applyAlignment="1">
      <alignment horizontal="right"/>
    </xf>
    <xf numFmtId="0" fontId="10" fillId="8" borderId="1" xfId="0" applyFont="1" applyFill="1" applyBorder="1"/>
    <xf numFmtId="166" fontId="0" fillId="8" borderId="1" xfId="4" applyFont="1" applyFill="1" applyBorder="1"/>
    <xf numFmtId="14" fontId="3" fillId="8" borderId="2" xfId="0" applyNumberFormat="1" applyFont="1" applyFill="1" applyBorder="1"/>
    <xf numFmtId="0" fontId="0" fillId="8" borderId="2" xfId="0" applyFont="1" applyFill="1" applyBorder="1" applyAlignment="1">
      <alignment horizontal="left" vertical="center"/>
    </xf>
    <xf numFmtId="43" fontId="1" fillId="0" borderId="1" xfId="1" applyFont="1" applyFill="1" applyBorder="1"/>
    <xf numFmtId="0" fontId="19" fillId="8" borderId="1" xfId="0" quotePrefix="1" applyFont="1" applyFill="1" applyBorder="1" applyAlignment="1">
      <alignment horizontal="center"/>
    </xf>
    <xf numFmtId="0" fontId="0" fillId="8" borderId="1" xfId="0" applyFont="1" applyFill="1" applyBorder="1" applyAlignment="1">
      <alignment horizontal="right" vertical="center"/>
    </xf>
    <xf numFmtId="0" fontId="0" fillId="8" borderId="1" xfId="0" applyFont="1" applyFill="1" applyBorder="1" applyAlignment="1">
      <alignment horizontal="center"/>
    </xf>
    <xf numFmtId="44" fontId="0" fillId="8" borderId="1" xfId="3509" applyFont="1" applyFill="1" applyBorder="1"/>
    <xf numFmtId="0" fontId="0" fillId="8" borderId="0" xfId="0" applyFont="1" applyFill="1"/>
    <xf numFmtId="165" fontId="0" fillId="8" borderId="1" xfId="6" applyFont="1" applyFill="1" applyBorder="1"/>
    <xf numFmtId="0" fontId="0" fillId="8" borderId="1" xfId="0" quotePrefix="1" applyFont="1" applyFill="1" applyBorder="1" applyAlignment="1">
      <alignment horizontal="center"/>
    </xf>
    <xf numFmtId="16" fontId="0" fillId="8" borderId="1" xfId="0" quotePrefix="1" applyNumberFormat="1" applyFont="1" applyFill="1" applyBorder="1" applyAlignment="1">
      <alignment horizontal="center"/>
    </xf>
    <xf numFmtId="0" fontId="3" fillId="8" borderId="1" xfId="0" applyFont="1" applyFill="1" applyBorder="1" applyAlignment="1"/>
    <xf numFmtId="15" fontId="3" fillId="8" borderId="1" xfId="0" applyNumberFormat="1" applyFont="1" applyFill="1" applyBorder="1" applyAlignment="1"/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horizontal="center" wrapText="1"/>
    </xf>
    <xf numFmtId="43" fontId="0" fillId="8" borderId="1" xfId="1" applyFont="1" applyFill="1" applyBorder="1"/>
    <xf numFmtId="43" fontId="3" fillId="8" borderId="1" xfId="1" quotePrefix="1" applyFont="1" applyFill="1" applyBorder="1" applyAlignment="1">
      <alignment horizontal="center"/>
    </xf>
    <xf numFmtId="43" fontId="1" fillId="8" borderId="6" xfId="1" applyFont="1" applyFill="1" applyBorder="1"/>
    <xf numFmtId="43" fontId="1" fillId="0" borderId="1" xfId="1" applyFont="1" applyFill="1" applyBorder="1" applyAlignment="1">
      <alignment horizontal="right"/>
    </xf>
    <xf numFmtId="14" fontId="0" fillId="8" borderId="1" xfId="0" applyNumberFormat="1" applyFont="1" applyFill="1" applyBorder="1"/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43" fontId="1" fillId="0" borderId="0" xfId="1" applyFont="1" applyFill="1" applyAlignment="1">
      <alignment horizontal="right"/>
    </xf>
    <xf numFmtId="0" fontId="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wrapText="1"/>
    </xf>
    <xf numFmtId="43" fontId="0" fillId="3" borderId="1" xfId="941" applyNumberFormat="1" applyFont="1" applyFill="1" applyBorder="1"/>
    <xf numFmtId="41" fontId="0" fillId="3" borderId="1" xfId="941" quotePrefix="1" applyFont="1" applyFill="1" applyBorder="1" applyAlignment="1">
      <alignment horizontal="center"/>
    </xf>
    <xf numFmtId="43" fontId="0" fillId="0" borderId="1" xfId="941" applyNumberFormat="1" applyFont="1" applyFill="1" applyBorder="1"/>
    <xf numFmtId="41" fontId="0" fillId="0" borderId="1" xfId="941" quotePrefix="1" applyFont="1" applyFill="1" applyBorder="1" applyAlignment="1">
      <alignment horizontal="center"/>
    </xf>
    <xf numFmtId="43" fontId="0" fillId="8" borderId="1" xfId="1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wrapText="1"/>
    </xf>
    <xf numFmtId="165" fontId="0" fillId="0" borderId="1" xfId="6" applyFont="1" applyFill="1" applyBorder="1" applyAlignment="1">
      <alignment wrapText="1"/>
    </xf>
    <xf numFmtId="166" fontId="1" fillId="0" borderId="1" xfId="4" applyFont="1" applyFill="1" applyBorder="1"/>
    <xf numFmtId="165" fontId="3" fillId="3" borderId="1" xfId="6" applyFont="1" applyFill="1" applyBorder="1" applyAlignment="1">
      <alignment wrapText="1"/>
    </xf>
    <xf numFmtId="0" fontId="3" fillId="9" borderId="1" xfId="0" applyFont="1" applyFill="1" applyBorder="1" applyAlignment="1">
      <alignment vertical="center"/>
    </xf>
    <xf numFmtId="0" fontId="1" fillId="0" borderId="1" xfId="1" quotePrefix="1" applyNumberFormat="1" applyFont="1" applyFill="1" applyBorder="1" applyAlignment="1">
      <alignment horizontal="center"/>
    </xf>
    <xf numFmtId="167" fontId="1" fillId="0" borderId="1" xfId="941" applyNumberFormat="1" applyFont="1" applyFill="1" applyBorder="1" applyAlignment="1">
      <alignment horizontal="right"/>
    </xf>
    <xf numFmtId="0" fontId="3" fillId="9" borderId="2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right" vertical="center"/>
    </xf>
    <xf numFmtId="0" fontId="1" fillId="0" borderId="1" xfId="1" applyNumberFormat="1" applyFont="1" applyFill="1" applyBorder="1" applyAlignment="1">
      <alignment horizontal="center"/>
    </xf>
    <xf numFmtId="14" fontId="10" fillId="8" borderId="8" xfId="0" applyNumberFormat="1" applyFont="1" applyFill="1" applyBorder="1"/>
    <xf numFmtId="14" fontId="10" fillId="8" borderId="9" xfId="0" applyNumberFormat="1" applyFont="1" applyFill="1" applyBorder="1" applyAlignment="1">
      <alignment horizontal="right"/>
    </xf>
    <xf numFmtId="14" fontId="10" fillId="8" borderId="10" xfId="0" applyNumberFormat="1" applyFont="1" applyFill="1" applyBorder="1" applyAlignment="1">
      <alignment horizontal="right"/>
    </xf>
    <xf numFmtId="14" fontId="10" fillId="8" borderId="9" xfId="0" applyNumberFormat="1" applyFont="1" applyFill="1" applyBorder="1" applyAlignment="1">
      <alignment horizontal="right"/>
    </xf>
    <xf numFmtId="0" fontId="1" fillId="8" borderId="8" xfId="0" applyFont="1" applyFill="1" applyBorder="1"/>
    <xf numFmtId="14" fontId="10" fillId="7" borderId="8" xfId="0" applyNumberFormat="1" applyFont="1" applyFill="1" applyBorder="1"/>
    <xf numFmtId="14" fontId="10" fillId="3" borderId="8" xfId="0" applyNumberFormat="1" applyFont="1" applyFill="1" applyBorder="1"/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4" fillId="2" borderId="2" xfId="0" applyFont="1" applyFill="1" applyBorder="1" applyAlignment="1" applyProtection="1">
      <alignment horizontal="right" vertical="center" wrapText="1"/>
      <protection hidden="1"/>
    </xf>
    <xf numFmtId="43" fontId="4" fillId="2" borderId="2" xfId="1" applyFont="1" applyFill="1" applyBorder="1" applyAlignment="1" applyProtection="1">
      <alignment horizontal="right" vertical="center" wrapText="1"/>
      <protection hidden="1"/>
    </xf>
    <xf numFmtId="43" fontId="4" fillId="2" borderId="2" xfId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10" fillId="3" borderId="1" xfId="0" applyFont="1" applyFill="1" applyBorder="1"/>
    <xf numFmtId="15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" fontId="3" fillId="3" borderId="1" xfId="94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4" fontId="0" fillId="0" borderId="1" xfId="0" applyNumberFormat="1" applyFont="1" applyFill="1" applyBorder="1" applyAlignment="1">
      <alignment horizontal="right" vertical="center"/>
    </xf>
    <xf numFmtId="165" fontId="0" fillId="8" borderId="1" xfId="6" applyFont="1" applyFill="1" applyBorder="1" applyAlignment="1">
      <alignment horizontal="right"/>
    </xf>
    <xf numFmtId="0" fontId="3" fillId="8" borderId="1" xfId="0" applyFont="1" applyFill="1" applyBorder="1" applyAlignment="1">
      <alignment horizontal="right" wrapText="1"/>
    </xf>
    <xf numFmtId="165" fontId="3" fillId="8" borderId="1" xfId="6" applyFont="1" applyFill="1" applyBorder="1" applyAlignment="1">
      <alignment horizontal="center"/>
    </xf>
    <xf numFmtId="43" fontId="3" fillId="0" borderId="1" xfId="941" applyNumberFormat="1" applyFont="1" applyFill="1" applyBorder="1"/>
    <xf numFmtId="43" fontId="0" fillId="3" borderId="1" xfId="1" applyFont="1" applyFill="1" applyBorder="1" applyAlignment="1">
      <alignment horizontal="right"/>
    </xf>
    <xf numFmtId="165" fontId="3" fillId="0" borderId="1" xfId="6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8" borderId="2" xfId="0" applyFont="1" applyFill="1" applyBorder="1" applyAlignment="1">
      <alignment horizontal="right" vertical="center"/>
    </xf>
    <xf numFmtId="165" fontId="0" fillId="8" borderId="2" xfId="6" applyFont="1" applyFill="1" applyBorder="1"/>
    <xf numFmtId="0" fontId="0" fillId="8" borderId="1" xfId="0" applyFont="1" applyFill="1" applyBorder="1" applyAlignment="1">
      <alignment horizontal="left" vertical="center"/>
    </xf>
    <xf numFmtId="0" fontId="0" fillId="8" borderId="1" xfId="0" quotePrefix="1" applyFont="1" applyFill="1" applyBorder="1" applyAlignment="1">
      <alignment horizontal="center"/>
    </xf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33"/>
  <sheetViews>
    <sheetView tabSelected="1" zoomScale="60" zoomScaleNormal="60" workbookViewId="0">
      <pane ySplit="10" topLeftCell="A11" activePane="bottomLeft" state="frozen"/>
      <selection activeCell="B26" sqref="B26"/>
      <selection pane="bottomLeft" activeCell="C137" sqref="C137"/>
    </sheetView>
  </sheetViews>
  <sheetFormatPr baseColWidth="10" defaultRowHeight="23.25" customHeight="1" x14ac:dyDescent="0.25"/>
  <cols>
    <col min="1" max="1" width="10.5703125" style="20" customWidth="1"/>
    <col min="2" max="2" width="39.85546875" style="72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3" hidden="1" customWidth="1"/>
    <col min="9" max="9" width="41.28515625" style="18" customWidth="1"/>
    <col min="10" max="10" width="27.140625" style="13" customWidth="1"/>
    <col min="11" max="11" width="21.140625" customWidth="1"/>
    <col min="12" max="12" width="15" hidden="1" customWidth="1"/>
    <col min="13" max="13" width="42.7109375" style="6" customWidth="1"/>
    <col min="14" max="14" width="43.28515625" style="6" customWidth="1"/>
    <col min="15" max="15" width="32" style="6" customWidth="1"/>
    <col min="16" max="16" width="40.5703125" style="6" customWidth="1"/>
    <col min="17" max="17" width="34.42578125" style="6" customWidth="1"/>
    <col min="18" max="18" width="34" style="6" customWidth="1"/>
    <col min="19" max="19" width="44.28515625" style="6" customWidth="1"/>
    <col min="20" max="20" width="33.5703125" style="6" customWidth="1"/>
    <col min="21" max="109" width="11.42578125" style="6"/>
  </cols>
  <sheetData>
    <row r="1" spans="1:109" ht="23.25" customHeight="1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4" t="s">
        <v>14</v>
      </c>
    </row>
    <row r="2" spans="1:109" ht="23.25" customHeight="1" x14ac:dyDescent="0.25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"/>
    </row>
    <row r="3" spans="1:109" ht="23.25" customHeight="1" x14ac:dyDescent="0.25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"/>
    </row>
    <row r="4" spans="1:109" ht="23.25" customHeight="1" x14ac:dyDescent="0.25">
      <c r="A4" s="7"/>
      <c r="B4" s="71"/>
      <c r="C4" s="9"/>
      <c r="D4" s="10"/>
      <c r="E4" s="11"/>
      <c r="F4" s="12"/>
      <c r="H4"/>
      <c r="I4" s="57"/>
      <c r="J4" s="8"/>
      <c r="K4" s="9"/>
      <c r="L4" s="21"/>
    </row>
    <row r="5" spans="1:109" ht="23.25" customHeight="1" x14ac:dyDescent="0.25">
      <c r="A5" s="152" t="s">
        <v>156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"/>
    </row>
    <row r="6" spans="1:109" ht="23.25" customHeight="1" x14ac:dyDescent="0.25">
      <c r="A6" s="6"/>
      <c r="H6"/>
      <c r="J6"/>
      <c r="K6" s="31" t="s">
        <v>26</v>
      </c>
      <c r="L6" t="s">
        <v>15</v>
      </c>
    </row>
    <row r="7" spans="1:109" ht="23.25" customHeight="1" x14ac:dyDescent="0.25">
      <c r="A7" s="153" t="s">
        <v>25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t="s">
        <v>16</v>
      </c>
    </row>
    <row r="8" spans="1:109" ht="23.25" customHeight="1" x14ac:dyDescent="0.25">
      <c r="A8" s="152" t="s">
        <v>17</v>
      </c>
      <c r="B8" s="152"/>
      <c r="C8" s="152"/>
      <c r="D8" s="152"/>
      <c r="E8" s="152"/>
      <c r="F8" s="152"/>
      <c r="G8" s="152"/>
      <c r="H8" s="152"/>
      <c r="I8" s="22"/>
      <c r="J8" s="23"/>
      <c r="K8" s="6"/>
      <c r="L8" t="s">
        <v>18</v>
      </c>
    </row>
    <row r="9" spans="1:109" ht="23.25" customHeight="1" x14ac:dyDescent="0.25">
      <c r="G9" s="16" t="s">
        <v>19</v>
      </c>
      <c r="H9" s="15">
        <f>10399521*0.16</f>
        <v>1663923.36</v>
      </c>
      <c r="I9" s="23"/>
      <c r="J9" s="30"/>
      <c r="K9" s="19"/>
      <c r="L9" t="s">
        <v>20</v>
      </c>
    </row>
    <row r="10" spans="1:109" s="17" customFormat="1" ht="30.75" customHeight="1" x14ac:dyDescent="0.25">
      <c r="A10" s="340" t="s">
        <v>21</v>
      </c>
      <c r="B10" s="347" t="s">
        <v>0</v>
      </c>
      <c r="C10" s="341" t="s">
        <v>1</v>
      </c>
      <c r="D10" s="342" t="s">
        <v>2</v>
      </c>
      <c r="E10" s="343" t="s">
        <v>3</v>
      </c>
      <c r="F10" s="340" t="s">
        <v>4</v>
      </c>
      <c r="G10" s="344" t="s">
        <v>5</v>
      </c>
      <c r="H10" s="345" t="s">
        <v>6</v>
      </c>
      <c r="I10" s="340" t="s">
        <v>7</v>
      </c>
      <c r="J10" s="346" t="s">
        <v>8</v>
      </c>
      <c r="K10" s="347" t="s">
        <v>9</v>
      </c>
      <c r="L10" s="5" t="s">
        <v>10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109" ht="23.25" customHeight="1" x14ac:dyDescent="0.25">
      <c r="A11" s="324">
        <v>368</v>
      </c>
      <c r="B11" s="159" t="s">
        <v>106</v>
      </c>
      <c r="C11" s="160">
        <v>830023178</v>
      </c>
      <c r="D11" s="161">
        <v>43411</v>
      </c>
      <c r="E11" s="160" t="s">
        <v>107</v>
      </c>
      <c r="F11" s="36">
        <v>149518</v>
      </c>
      <c r="G11" s="63">
        <v>299518</v>
      </c>
      <c r="H11" s="35">
        <v>6382677.71</v>
      </c>
      <c r="I11" s="162" t="s">
        <v>157</v>
      </c>
      <c r="J11" s="288">
        <f>39975718.31-4060402.09</f>
        <v>35915316.219999999</v>
      </c>
      <c r="K11" s="243">
        <v>43456</v>
      </c>
      <c r="L11" s="121">
        <v>43410</v>
      </c>
      <c r="M11" s="24"/>
      <c r="N11" s="2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324">
        <f>A11+1</f>
        <v>369</v>
      </c>
      <c r="B12" s="143" t="s">
        <v>158</v>
      </c>
      <c r="C12" s="63">
        <v>8600257923</v>
      </c>
      <c r="D12" s="161">
        <v>43411</v>
      </c>
      <c r="E12" s="63" t="s">
        <v>159</v>
      </c>
      <c r="F12" s="36">
        <v>151518</v>
      </c>
      <c r="G12" s="141" t="s">
        <v>160</v>
      </c>
      <c r="H12" s="61"/>
      <c r="I12" s="163"/>
      <c r="J12" s="64">
        <v>502076440</v>
      </c>
      <c r="K12" s="243">
        <v>43456</v>
      </c>
      <c r="L12" s="121">
        <v>43411</v>
      </c>
      <c r="M12" s="25"/>
      <c r="N12" s="2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324">
        <f t="shared" ref="A13:A76" si="0">A12+1</f>
        <v>370</v>
      </c>
      <c r="B13" s="69" t="s">
        <v>92</v>
      </c>
      <c r="C13" s="141">
        <v>901171503</v>
      </c>
      <c r="D13" s="161">
        <v>43411</v>
      </c>
      <c r="E13" s="70" t="s">
        <v>93</v>
      </c>
      <c r="F13" s="36">
        <v>103218</v>
      </c>
      <c r="G13" s="164">
        <v>300018</v>
      </c>
      <c r="H13" s="35">
        <f>64583470.68+29586756.47</f>
        <v>94170227.150000006</v>
      </c>
      <c r="I13" s="325" t="s">
        <v>161</v>
      </c>
      <c r="J13" s="114">
        <f>(404496474.28-42.28)+(185306527.37-19.37)</f>
        <v>589802940</v>
      </c>
      <c r="K13" s="243">
        <v>43456</v>
      </c>
      <c r="L13" s="121">
        <v>43411</v>
      </c>
      <c r="M13" s="25"/>
      <c r="N13" s="2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324">
        <f t="shared" si="0"/>
        <v>371</v>
      </c>
      <c r="B14" s="143" t="s">
        <v>325</v>
      </c>
      <c r="C14" s="63">
        <v>830119276</v>
      </c>
      <c r="D14" s="161">
        <v>43411</v>
      </c>
      <c r="E14" s="67" t="s">
        <v>50</v>
      </c>
      <c r="F14" s="36">
        <v>25918</v>
      </c>
      <c r="G14" s="164">
        <v>300118</v>
      </c>
      <c r="H14" s="326">
        <v>140851560</v>
      </c>
      <c r="I14" s="165">
        <v>2319</v>
      </c>
      <c r="J14" s="125">
        <v>882175560</v>
      </c>
      <c r="K14" s="243">
        <v>43456</v>
      </c>
      <c r="L14" s="121">
        <v>43411</v>
      </c>
      <c r="M14" s="25"/>
      <c r="N14" s="2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324">
        <f t="shared" si="0"/>
        <v>372</v>
      </c>
      <c r="B15" s="166" t="s">
        <v>162</v>
      </c>
      <c r="C15" s="63">
        <v>900297782</v>
      </c>
      <c r="D15" s="161">
        <v>43412</v>
      </c>
      <c r="E15" s="167" t="s">
        <v>163</v>
      </c>
      <c r="F15" s="36">
        <v>105718</v>
      </c>
      <c r="G15" s="141">
        <v>300818</v>
      </c>
      <c r="H15" s="61">
        <v>7603991.5999999996</v>
      </c>
      <c r="I15" s="163">
        <v>209</v>
      </c>
      <c r="J15" s="117">
        <v>47625000</v>
      </c>
      <c r="K15" s="243">
        <v>43456</v>
      </c>
      <c r="L15" s="121">
        <v>43411</v>
      </c>
      <c r="M15" s="25"/>
      <c r="N15" s="2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324">
        <f t="shared" si="0"/>
        <v>373</v>
      </c>
      <c r="B16" s="166" t="s">
        <v>164</v>
      </c>
      <c r="C16" s="63">
        <v>800199498</v>
      </c>
      <c r="D16" s="161">
        <v>43412</v>
      </c>
      <c r="E16" s="63" t="s">
        <v>165</v>
      </c>
      <c r="F16" s="36">
        <v>180618</v>
      </c>
      <c r="G16" s="141">
        <v>300918</v>
      </c>
      <c r="H16" s="61">
        <f>5401662+10803324</f>
        <v>16204986</v>
      </c>
      <c r="I16" s="163" t="s">
        <v>166</v>
      </c>
      <c r="J16" s="117">
        <f>33831462+67662924</f>
        <v>101494386</v>
      </c>
      <c r="K16" s="243">
        <v>43456</v>
      </c>
      <c r="L16" s="121">
        <v>43411</v>
      </c>
    </row>
    <row r="17" spans="1:12" ht="48" customHeight="1" x14ac:dyDescent="0.25">
      <c r="A17" s="324">
        <f t="shared" si="0"/>
        <v>374</v>
      </c>
      <c r="B17" s="166" t="s">
        <v>167</v>
      </c>
      <c r="C17" s="63">
        <v>900156622</v>
      </c>
      <c r="D17" s="161">
        <v>43413</v>
      </c>
      <c r="E17" s="167" t="s">
        <v>168</v>
      </c>
      <c r="F17" s="36">
        <v>10318</v>
      </c>
      <c r="G17" s="141">
        <v>301318</v>
      </c>
      <c r="H17" s="61">
        <f>1990490.59+3188577.47</f>
        <v>5179068.0600000005</v>
      </c>
      <c r="I17" s="163" t="s">
        <v>169</v>
      </c>
      <c r="J17" s="288">
        <f>12466756.84+19970564.16</f>
        <v>32437321</v>
      </c>
      <c r="K17" s="243">
        <v>43456</v>
      </c>
      <c r="L17" s="121">
        <v>43411</v>
      </c>
    </row>
    <row r="18" spans="1:12" ht="32.25" customHeight="1" x14ac:dyDescent="0.25">
      <c r="A18" s="324">
        <f t="shared" si="0"/>
        <v>375</v>
      </c>
      <c r="B18" s="159" t="s">
        <v>170</v>
      </c>
      <c r="C18" s="63">
        <v>124255</v>
      </c>
      <c r="D18" s="161">
        <v>43413</v>
      </c>
      <c r="E18" s="160" t="s">
        <v>171</v>
      </c>
      <c r="F18" s="168">
        <v>229518</v>
      </c>
      <c r="G18" s="141">
        <v>303118</v>
      </c>
      <c r="H18" s="61">
        <v>2373252</v>
      </c>
      <c r="I18" s="163">
        <v>5089</v>
      </c>
      <c r="J18" s="117">
        <v>14864052</v>
      </c>
      <c r="K18" s="243">
        <v>43456</v>
      </c>
      <c r="L18" s="122"/>
    </row>
    <row r="19" spans="1:12" ht="38.25" customHeight="1" x14ac:dyDescent="0.25">
      <c r="A19" s="331">
        <f t="shared" si="0"/>
        <v>376</v>
      </c>
      <c r="B19" s="159" t="s">
        <v>172</v>
      </c>
      <c r="C19" s="63">
        <v>8600257923</v>
      </c>
      <c r="D19" s="161">
        <v>43413</v>
      </c>
      <c r="E19" s="63" t="s">
        <v>159</v>
      </c>
      <c r="F19" s="160">
        <v>151418</v>
      </c>
      <c r="G19" s="140" t="s">
        <v>173</v>
      </c>
      <c r="H19" s="169"/>
      <c r="I19" s="170" t="s">
        <v>174</v>
      </c>
      <c r="J19" s="117">
        <v>374635400</v>
      </c>
      <c r="K19" s="243">
        <v>43456</v>
      </c>
      <c r="L19" s="123">
        <v>43411</v>
      </c>
    </row>
    <row r="20" spans="1:12" ht="49.5" customHeight="1" x14ac:dyDescent="0.25">
      <c r="A20" s="331"/>
      <c r="B20" s="159" t="s">
        <v>175</v>
      </c>
      <c r="C20" s="63">
        <v>8600257923</v>
      </c>
      <c r="D20" s="161">
        <v>43413</v>
      </c>
      <c r="E20" s="63" t="s">
        <v>159</v>
      </c>
      <c r="F20" s="160">
        <v>202618</v>
      </c>
      <c r="G20" s="140" t="s">
        <v>176</v>
      </c>
      <c r="H20" s="61"/>
      <c r="I20" s="170" t="s">
        <v>177</v>
      </c>
      <c r="J20" s="117">
        <v>112390620</v>
      </c>
      <c r="K20" s="243">
        <v>43456</v>
      </c>
      <c r="L20" s="123" t="s">
        <v>97</v>
      </c>
    </row>
    <row r="21" spans="1:12" ht="40.5" customHeight="1" x14ac:dyDescent="0.25">
      <c r="A21" s="324">
        <f>A19+1</f>
        <v>377</v>
      </c>
      <c r="B21" s="168" t="s">
        <v>324</v>
      </c>
      <c r="C21" s="63">
        <v>900900730</v>
      </c>
      <c r="D21" s="161">
        <v>43417</v>
      </c>
      <c r="E21" s="168" t="s">
        <v>151</v>
      </c>
      <c r="F21" s="34">
        <v>189918</v>
      </c>
      <c r="G21" s="141">
        <v>304218</v>
      </c>
      <c r="H21" s="35"/>
      <c r="I21" s="171">
        <v>70</v>
      </c>
      <c r="J21" s="117">
        <v>232178479.69999999</v>
      </c>
      <c r="K21" s="243">
        <v>43456</v>
      </c>
      <c r="L21" s="123" t="s">
        <v>98</v>
      </c>
    </row>
    <row r="22" spans="1:12" ht="23.25" customHeight="1" x14ac:dyDescent="0.25">
      <c r="A22" s="324">
        <f t="shared" si="0"/>
        <v>378</v>
      </c>
      <c r="B22" s="159" t="s">
        <v>179</v>
      </c>
      <c r="C22" s="63">
        <v>901197434</v>
      </c>
      <c r="D22" s="161">
        <v>43417</v>
      </c>
      <c r="E22" s="160" t="s">
        <v>180</v>
      </c>
      <c r="F22" s="36">
        <v>174818</v>
      </c>
      <c r="G22" s="63">
        <v>304818</v>
      </c>
      <c r="H22" s="63"/>
      <c r="I22" s="162" t="s">
        <v>181</v>
      </c>
      <c r="J22" s="288">
        <v>82390000</v>
      </c>
      <c r="K22" s="243">
        <v>43456</v>
      </c>
      <c r="L22" s="123">
        <v>43411</v>
      </c>
    </row>
    <row r="23" spans="1:12" ht="40.5" customHeight="1" x14ac:dyDescent="0.25">
      <c r="A23" s="330">
        <f t="shared" si="0"/>
        <v>379</v>
      </c>
      <c r="B23" s="166" t="s">
        <v>182</v>
      </c>
      <c r="C23" s="63">
        <v>900230597</v>
      </c>
      <c r="D23" s="161">
        <v>43417</v>
      </c>
      <c r="E23" s="167" t="s">
        <v>183</v>
      </c>
      <c r="F23" s="36">
        <v>162718</v>
      </c>
      <c r="G23" s="141">
        <v>305018</v>
      </c>
      <c r="H23" s="35">
        <v>942017</v>
      </c>
      <c r="I23" s="162" t="s">
        <v>184</v>
      </c>
      <c r="J23" s="288">
        <v>5900000</v>
      </c>
      <c r="K23" s="243">
        <v>43456</v>
      </c>
      <c r="L23" s="123">
        <v>43411</v>
      </c>
    </row>
    <row r="24" spans="1:12" ht="32.25" customHeight="1" x14ac:dyDescent="0.25">
      <c r="A24" s="331">
        <f>A23+1</f>
        <v>380</v>
      </c>
      <c r="B24" s="159" t="s">
        <v>101</v>
      </c>
      <c r="C24" s="151">
        <v>830119276</v>
      </c>
      <c r="D24" s="360">
        <v>43418</v>
      </c>
      <c r="E24" s="176" t="s">
        <v>50</v>
      </c>
      <c r="F24" s="36">
        <v>24818</v>
      </c>
      <c r="G24" s="164">
        <v>305818</v>
      </c>
      <c r="H24" s="326">
        <v>172924947</v>
      </c>
      <c r="I24" s="332">
        <v>2320</v>
      </c>
      <c r="J24" s="305">
        <v>1083056247</v>
      </c>
      <c r="K24" s="243">
        <v>43456</v>
      </c>
      <c r="L24" s="123">
        <v>43411</v>
      </c>
    </row>
    <row r="25" spans="1:12" ht="45.75" customHeight="1" x14ac:dyDescent="0.25">
      <c r="A25" s="331"/>
      <c r="B25" s="159" t="s">
        <v>185</v>
      </c>
      <c r="C25" s="151"/>
      <c r="D25" s="360"/>
      <c r="E25" s="176"/>
      <c r="F25" s="168">
        <v>55918</v>
      </c>
      <c r="G25" s="141">
        <v>305918</v>
      </c>
      <c r="H25" s="35">
        <v>204224160</v>
      </c>
      <c r="I25" s="171" t="s">
        <v>186</v>
      </c>
      <c r="J25" s="117">
        <f>(548180640+1279088160)-548180640</f>
        <v>1279088160</v>
      </c>
      <c r="K25" s="243">
        <v>43456</v>
      </c>
      <c r="L25" s="123">
        <v>43411</v>
      </c>
    </row>
    <row r="26" spans="1:12" ht="23.25" customHeight="1" x14ac:dyDescent="0.25">
      <c r="A26" s="331">
        <f>A24+1</f>
        <v>381</v>
      </c>
      <c r="B26" s="159" t="s">
        <v>99</v>
      </c>
      <c r="C26" s="63">
        <v>830119276</v>
      </c>
      <c r="D26" s="360">
        <v>43418</v>
      </c>
      <c r="E26" s="176" t="s">
        <v>50</v>
      </c>
      <c r="F26" s="36">
        <v>24918</v>
      </c>
      <c r="G26" s="63">
        <v>306018</v>
      </c>
      <c r="H26" s="326">
        <v>249128188.09999999</v>
      </c>
      <c r="I26" s="165">
        <v>2324</v>
      </c>
      <c r="J26" s="125">
        <v>1560329178.0999999</v>
      </c>
      <c r="K26" s="243">
        <v>43456</v>
      </c>
      <c r="L26" s="123">
        <v>43411</v>
      </c>
    </row>
    <row r="27" spans="1:12" ht="23.25" customHeight="1" x14ac:dyDescent="0.25">
      <c r="A27" s="331"/>
      <c r="B27" s="159" t="s">
        <v>100</v>
      </c>
      <c r="C27" s="63">
        <v>830119276</v>
      </c>
      <c r="D27" s="360"/>
      <c r="E27" s="176"/>
      <c r="F27" s="36">
        <v>55818</v>
      </c>
      <c r="G27" s="63">
        <v>306218</v>
      </c>
      <c r="H27" s="326">
        <v>137324096</v>
      </c>
      <c r="I27" s="165">
        <v>2325</v>
      </c>
      <c r="J27" s="125">
        <v>860082496</v>
      </c>
      <c r="K27" s="243">
        <v>43456</v>
      </c>
      <c r="L27" s="123" t="s">
        <v>97</v>
      </c>
    </row>
    <row r="28" spans="1:12" ht="23.25" customHeight="1" x14ac:dyDescent="0.25">
      <c r="A28" s="331">
        <f>A26+1</f>
        <v>382</v>
      </c>
      <c r="B28" s="159" t="s">
        <v>104</v>
      </c>
      <c r="C28" s="151">
        <v>830119276</v>
      </c>
      <c r="D28" s="360">
        <v>43418</v>
      </c>
      <c r="E28" s="176" t="s">
        <v>50</v>
      </c>
      <c r="F28" s="36">
        <v>24718</v>
      </c>
      <c r="G28" s="164">
        <v>306318</v>
      </c>
      <c r="H28" s="326">
        <v>173139928.19999999</v>
      </c>
      <c r="I28" s="332">
        <v>2322</v>
      </c>
      <c r="J28" s="305">
        <v>1084402708.2</v>
      </c>
      <c r="K28" s="243">
        <v>43456</v>
      </c>
      <c r="L28" s="123">
        <v>43411</v>
      </c>
    </row>
    <row r="29" spans="1:12" ht="23.25" customHeight="1" x14ac:dyDescent="0.25">
      <c r="A29" s="331"/>
      <c r="B29" s="159" t="s">
        <v>105</v>
      </c>
      <c r="C29" s="151"/>
      <c r="D29" s="360"/>
      <c r="E29" s="176"/>
      <c r="F29" s="36">
        <v>63918</v>
      </c>
      <c r="G29" s="164">
        <v>306418</v>
      </c>
      <c r="H29" s="326">
        <v>109737540</v>
      </c>
      <c r="I29" s="332">
        <v>2326</v>
      </c>
      <c r="J29" s="305">
        <v>687303540</v>
      </c>
      <c r="K29" s="243">
        <v>43456</v>
      </c>
      <c r="L29" s="123">
        <v>43411</v>
      </c>
    </row>
    <row r="30" spans="1:12" ht="23.25" customHeight="1" x14ac:dyDescent="0.25">
      <c r="A30" s="330">
        <f>A28+1</f>
        <v>383</v>
      </c>
      <c r="B30" s="69" t="s">
        <v>90</v>
      </c>
      <c r="C30" s="63">
        <v>800222505</v>
      </c>
      <c r="D30" s="65">
        <v>43418</v>
      </c>
      <c r="E30" s="69" t="s">
        <v>91</v>
      </c>
      <c r="F30" s="63">
        <v>108218</v>
      </c>
      <c r="G30" s="63">
        <v>306518</v>
      </c>
      <c r="H30" s="35">
        <v>6581983</v>
      </c>
      <c r="I30" s="177">
        <v>2198</v>
      </c>
      <c r="J30" s="64">
        <v>41224000</v>
      </c>
      <c r="K30" s="243">
        <v>43456</v>
      </c>
      <c r="L30" s="123">
        <v>43361</v>
      </c>
    </row>
    <row r="31" spans="1:12" ht="23.25" customHeight="1" x14ac:dyDescent="0.25">
      <c r="A31" s="324">
        <f t="shared" si="0"/>
        <v>384</v>
      </c>
      <c r="B31" s="143" t="s">
        <v>68</v>
      </c>
      <c r="C31" s="63">
        <v>830088907</v>
      </c>
      <c r="D31" s="65">
        <v>43418</v>
      </c>
      <c r="E31" s="63" t="s">
        <v>69</v>
      </c>
      <c r="F31" s="36">
        <v>106118</v>
      </c>
      <c r="G31" s="63">
        <v>307018</v>
      </c>
      <c r="H31" s="35">
        <v>1027900</v>
      </c>
      <c r="I31" s="171">
        <v>3279</v>
      </c>
      <c r="J31" s="64">
        <v>6437900</v>
      </c>
      <c r="K31" s="243">
        <v>43456</v>
      </c>
      <c r="L31" s="121">
        <v>43423</v>
      </c>
    </row>
    <row r="32" spans="1:12" ht="38.25" customHeight="1" x14ac:dyDescent="0.25">
      <c r="A32" s="324">
        <f t="shared" si="0"/>
        <v>385</v>
      </c>
      <c r="B32" s="166" t="s">
        <v>187</v>
      </c>
      <c r="C32" s="63">
        <v>830044977</v>
      </c>
      <c r="D32" s="65">
        <v>43419</v>
      </c>
      <c r="E32" s="160" t="s">
        <v>188</v>
      </c>
      <c r="F32" s="36">
        <v>203418</v>
      </c>
      <c r="G32" s="141">
        <v>307318</v>
      </c>
      <c r="H32" s="35">
        <v>0</v>
      </c>
      <c r="I32" s="171">
        <v>19438</v>
      </c>
      <c r="J32" s="288">
        <v>163500028</v>
      </c>
      <c r="K32" s="243">
        <v>43456</v>
      </c>
      <c r="L32" s="121">
        <v>43423</v>
      </c>
    </row>
    <row r="33" spans="1:12" ht="23.25" customHeight="1" x14ac:dyDescent="0.25">
      <c r="A33" s="324">
        <f t="shared" si="0"/>
        <v>386</v>
      </c>
      <c r="B33" s="69" t="s">
        <v>92</v>
      </c>
      <c r="C33" s="141">
        <v>901171503</v>
      </c>
      <c r="D33" s="65">
        <v>43419</v>
      </c>
      <c r="E33" s="70" t="s">
        <v>93</v>
      </c>
      <c r="F33" s="36">
        <v>103218</v>
      </c>
      <c r="G33" s="164">
        <v>308518</v>
      </c>
      <c r="H33" s="35">
        <v>3258220.84</v>
      </c>
      <c r="I33" s="325" t="s">
        <v>189</v>
      </c>
      <c r="J33" s="114">
        <f>20406751.59-1.59</f>
        <v>20406750</v>
      </c>
      <c r="K33" s="243">
        <v>43456</v>
      </c>
      <c r="L33" s="121">
        <v>43423</v>
      </c>
    </row>
    <row r="34" spans="1:12" ht="23.25" customHeight="1" x14ac:dyDescent="0.25">
      <c r="A34" s="324">
        <f t="shared" si="0"/>
        <v>387</v>
      </c>
      <c r="B34" s="166" t="s">
        <v>190</v>
      </c>
      <c r="C34" s="63">
        <v>20197103</v>
      </c>
      <c r="D34" s="65">
        <v>43419</v>
      </c>
      <c r="E34" s="167" t="s">
        <v>191</v>
      </c>
      <c r="F34" s="36">
        <v>105318</v>
      </c>
      <c r="G34" s="141">
        <v>308618</v>
      </c>
      <c r="H34" s="35">
        <v>12235228.08</v>
      </c>
      <c r="I34" s="171" t="s">
        <v>192</v>
      </c>
      <c r="J34" s="117">
        <f>76631165.08-3.33</f>
        <v>76631161.75</v>
      </c>
      <c r="K34" s="243">
        <v>43456</v>
      </c>
      <c r="L34" s="121">
        <v>43423</v>
      </c>
    </row>
    <row r="35" spans="1:12" ht="23.25" customHeight="1" x14ac:dyDescent="0.25">
      <c r="A35" s="331">
        <f>A34+1</f>
        <v>388</v>
      </c>
      <c r="B35" s="143" t="s">
        <v>61</v>
      </c>
      <c r="C35" s="179">
        <v>860067479</v>
      </c>
      <c r="D35" s="154">
        <v>43423</v>
      </c>
      <c r="E35" s="155" t="s">
        <v>62</v>
      </c>
      <c r="F35" s="36">
        <v>75118</v>
      </c>
      <c r="G35" s="63">
        <v>314218</v>
      </c>
      <c r="H35" s="35">
        <v>2221767.81</v>
      </c>
      <c r="I35" s="162">
        <v>120554</v>
      </c>
      <c r="J35" s="114">
        <v>112527222.40000001</v>
      </c>
      <c r="K35" s="243">
        <v>43456</v>
      </c>
      <c r="L35" s="121">
        <v>43423</v>
      </c>
    </row>
    <row r="36" spans="1:12" ht="23.25" customHeight="1" x14ac:dyDescent="0.25">
      <c r="A36" s="331"/>
      <c r="B36" s="143" t="s">
        <v>63</v>
      </c>
      <c r="C36" s="179"/>
      <c r="D36" s="154"/>
      <c r="E36" s="155"/>
      <c r="F36" s="36">
        <v>183018</v>
      </c>
      <c r="G36" s="63">
        <v>314418</v>
      </c>
      <c r="H36" s="35">
        <v>303388.46999999997</v>
      </c>
      <c r="I36" s="162">
        <v>100241</v>
      </c>
      <c r="J36" s="114">
        <v>16430881.09</v>
      </c>
      <c r="K36" s="243">
        <v>43456</v>
      </c>
      <c r="L36" s="121">
        <v>43423</v>
      </c>
    </row>
    <row r="37" spans="1:12" ht="23.25" customHeight="1" x14ac:dyDescent="0.25">
      <c r="A37" s="324">
        <f>A35+1</f>
        <v>389</v>
      </c>
      <c r="B37" s="166" t="s">
        <v>108</v>
      </c>
      <c r="C37" s="63">
        <v>830122566</v>
      </c>
      <c r="D37" s="180">
        <v>43423</v>
      </c>
      <c r="E37" s="167" t="s">
        <v>193</v>
      </c>
      <c r="F37" s="142">
        <v>205818</v>
      </c>
      <c r="G37" s="181" t="s">
        <v>194</v>
      </c>
      <c r="H37" s="35">
        <v>0</v>
      </c>
      <c r="I37" s="162" t="s">
        <v>195</v>
      </c>
      <c r="J37" s="288">
        <v>26421067</v>
      </c>
      <c r="K37" s="243">
        <v>43456</v>
      </c>
      <c r="L37" s="121">
        <v>43423</v>
      </c>
    </row>
    <row r="38" spans="1:12" ht="23.25" customHeight="1" x14ac:dyDescent="0.25">
      <c r="A38" s="324">
        <f>A37+1</f>
        <v>390</v>
      </c>
      <c r="B38" s="143" t="s">
        <v>196</v>
      </c>
      <c r="C38" s="63">
        <v>830027699</v>
      </c>
      <c r="D38" s="180">
        <v>43423</v>
      </c>
      <c r="E38" s="63" t="s">
        <v>197</v>
      </c>
      <c r="F38" s="36">
        <v>142518</v>
      </c>
      <c r="G38" s="141">
        <v>314718</v>
      </c>
      <c r="H38" s="35">
        <v>0</v>
      </c>
      <c r="I38" s="171">
        <v>19245</v>
      </c>
      <c r="J38" s="64">
        <v>21962640</v>
      </c>
      <c r="K38" s="243">
        <v>43456</v>
      </c>
      <c r="L38" s="121">
        <v>43423</v>
      </c>
    </row>
    <row r="39" spans="1:12" ht="23.25" customHeight="1" x14ac:dyDescent="0.25">
      <c r="A39" s="324">
        <f>A38+1</f>
        <v>391</v>
      </c>
      <c r="B39" s="69" t="s">
        <v>94</v>
      </c>
      <c r="C39" s="141" t="s">
        <v>95</v>
      </c>
      <c r="D39" s="180">
        <v>43424</v>
      </c>
      <c r="E39" s="70" t="s">
        <v>96</v>
      </c>
      <c r="F39" s="36">
        <v>161418</v>
      </c>
      <c r="G39" s="63">
        <v>318118</v>
      </c>
      <c r="H39" s="64">
        <v>1040095.13</v>
      </c>
      <c r="I39" s="171">
        <v>11944</v>
      </c>
      <c r="J39" s="64">
        <v>6514280.04</v>
      </c>
      <c r="K39" s="243">
        <v>43456</v>
      </c>
      <c r="L39" s="121">
        <v>43423</v>
      </c>
    </row>
    <row r="40" spans="1:12" ht="23.25" customHeight="1" x14ac:dyDescent="0.25">
      <c r="A40" s="324">
        <f>A39+1</f>
        <v>392</v>
      </c>
      <c r="B40" s="159" t="s">
        <v>198</v>
      </c>
      <c r="C40" s="63">
        <v>830122566</v>
      </c>
      <c r="D40" s="180">
        <v>43424</v>
      </c>
      <c r="E40" s="159" t="s">
        <v>28</v>
      </c>
      <c r="F40" s="307">
        <v>212118</v>
      </c>
      <c r="G40" s="141">
        <v>318818</v>
      </c>
      <c r="H40" s="35">
        <v>13462669.539999999</v>
      </c>
      <c r="I40" s="162" t="s">
        <v>199</v>
      </c>
      <c r="J40" s="117">
        <f>84318825+0.8</f>
        <v>84318825.799999997</v>
      </c>
      <c r="K40" s="243">
        <v>43456</v>
      </c>
      <c r="L40" s="121">
        <v>43423</v>
      </c>
    </row>
    <row r="41" spans="1:12" ht="23.25" customHeight="1" x14ac:dyDescent="0.25">
      <c r="A41" s="324">
        <f t="shared" si="0"/>
        <v>393</v>
      </c>
      <c r="B41" s="159" t="s">
        <v>200</v>
      </c>
      <c r="C41" s="63">
        <v>900452118</v>
      </c>
      <c r="D41" s="180">
        <v>43424</v>
      </c>
      <c r="E41" s="160" t="s">
        <v>201</v>
      </c>
      <c r="F41" s="36">
        <v>229418</v>
      </c>
      <c r="G41" s="141">
        <v>319418</v>
      </c>
      <c r="H41" s="35">
        <v>2194157</v>
      </c>
      <c r="I41" s="171">
        <v>330</v>
      </c>
      <c r="J41" s="117">
        <v>13742349</v>
      </c>
      <c r="K41" s="243">
        <v>43456</v>
      </c>
      <c r="L41" s="121">
        <v>43423</v>
      </c>
    </row>
    <row r="42" spans="1:12" ht="23.25" customHeight="1" x14ac:dyDescent="0.25">
      <c r="A42" s="324">
        <f t="shared" si="0"/>
        <v>394</v>
      </c>
      <c r="B42" s="143" t="s">
        <v>116</v>
      </c>
      <c r="C42" s="63">
        <v>800075003</v>
      </c>
      <c r="D42" s="180">
        <v>43424</v>
      </c>
      <c r="E42" s="63" t="s">
        <v>117</v>
      </c>
      <c r="F42" s="60">
        <v>205718</v>
      </c>
      <c r="G42" s="141">
        <v>322018</v>
      </c>
      <c r="H42" s="61">
        <v>0</v>
      </c>
      <c r="I42" s="163" t="s">
        <v>118</v>
      </c>
      <c r="J42" s="117">
        <v>826200004</v>
      </c>
      <c r="K42" s="243">
        <v>43456</v>
      </c>
      <c r="L42" s="121">
        <v>43423</v>
      </c>
    </row>
    <row r="43" spans="1:12" ht="23.25" customHeight="1" x14ac:dyDescent="0.25">
      <c r="A43" s="327">
        <f t="shared" si="0"/>
        <v>395</v>
      </c>
      <c r="B43" s="116" t="s">
        <v>48</v>
      </c>
      <c r="C43" s="151">
        <v>800007813</v>
      </c>
      <c r="D43" s="180">
        <v>43424</v>
      </c>
      <c r="E43" s="183" t="s">
        <v>49</v>
      </c>
      <c r="F43" s="34">
        <v>518</v>
      </c>
      <c r="G43" s="141">
        <v>322118</v>
      </c>
      <c r="H43" s="63">
        <v>0</v>
      </c>
      <c r="I43" s="184">
        <v>9118011781</v>
      </c>
      <c r="J43" s="64">
        <v>62870149.810000002</v>
      </c>
      <c r="K43" s="243">
        <v>43456</v>
      </c>
      <c r="L43" s="121">
        <v>43423</v>
      </c>
    </row>
    <row r="44" spans="1:12" ht="23.25" customHeight="1" x14ac:dyDescent="0.25">
      <c r="A44" s="328"/>
      <c r="B44" s="116" t="s">
        <v>202</v>
      </c>
      <c r="C44" s="151"/>
      <c r="D44" s="180">
        <v>43424</v>
      </c>
      <c r="E44" s="185"/>
      <c r="F44" s="36">
        <v>209018</v>
      </c>
      <c r="G44" s="63">
        <v>322218</v>
      </c>
      <c r="H44" s="63">
        <v>0</v>
      </c>
      <c r="I44" s="184"/>
      <c r="J44" s="114">
        <v>43905886.009999998</v>
      </c>
      <c r="K44" s="243">
        <v>43456</v>
      </c>
      <c r="L44" s="121">
        <v>43423</v>
      </c>
    </row>
    <row r="45" spans="1:12" ht="23.25" customHeight="1" x14ac:dyDescent="0.25">
      <c r="A45" s="324">
        <f>A43+1</f>
        <v>396</v>
      </c>
      <c r="B45" s="143" t="s">
        <v>203</v>
      </c>
      <c r="C45" s="63">
        <v>830073623</v>
      </c>
      <c r="D45" s="180">
        <v>43425</v>
      </c>
      <c r="E45" s="63" t="s">
        <v>204</v>
      </c>
      <c r="F45" s="142">
        <v>184118</v>
      </c>
      <c r="G45" s="186">
        <v>326218</v>
      </c>
      <c r="H45" s="366">
        <v>0</v>
      </c>
      <c r="I45" s="171">
        <v>4134</v>
      </c>
      <c r="J45" s="64">
        <v>44753189.170000002</v>
      </c>
      <c r="K45" s="243">
        <v>43456</v>
      </c>
      <c r="L45" s="121">
        <v>43423</v>
      </c>
    </row>
    <row r="46" spans="1:12" ht="23.25" customHeight="1" x14ac:dyDescent="0.25">
      <c r="A46" s="329">
        <f t="shared" si="0"/>
        <v>397</v>
      </c>
      <c r="B46" s="187" t="s">
        <v>114</v>
      </c>
      <c r="C46" s="63">
        <v>830001113</v>
      </c>
      <c r="D46" s="65">
        <v>43426</v>
      </c>
      <c r="E46" s="188" t="s">
        <v>115</v>
      </c>
      <c r="F46" s="142">
        <v>199118</v>
      </c>
      <c r="G46" s="141" t="s">
        <v>205</v>
      </c>
      <c r="H46" s="61"/>
      <c r="I46" s="170" t="s">
        <v>206</v>
      </c>
      <c r="J46" s="64">
        <v>721017984</v>
      </c>
      <c r="K46" s="243">
        <v>43456</v>
      </c>
      <c r="L46" s="121">
        <v>43423</v>
      </c>
    </row>
    <row r="47" spans="1:12" ht="23.25" customHeight="1" x14ac:dyDescent="0.25">
      <c r="A47" s="329">
        <f t="shared" si="0"/>
        <v>398</v>
      </c>
      <c r="B47" s="69" t="s">
        <v>92</v>
      </c>
      <c r="C47" s="141">
        <v>901171503</v>
      </c>
      <c r="D47" s="65">
        <v>43426</v>
      </c>
      <c r="E47" s="70" t="s">
        <v>93</v>
      </c>
      <c r="F47" s="36">
        <v>103218</v>
      </c>
      <c r="G47" s="164">
        <v>330818</v>
      </c>
      <c r="H47" s="35">
        <v>1985795.79</v>
      </c>
      <c r="I47" s="325" t="s">
        <v>207</v>
      </c>
      <c r="J47" s="114">
        <f>12437352.59-0.59</f>
        <v>12437352</v>
      </c>
      <c r="K47" s="243">
        <v>43456</v>
      </c>
      <c r="L47" s="121">
        <v>43423</v>
      </c>
    </row>
    <row r="48" spans="1:12" ht="23.25" customHeight="1" x14ac:dyDescent="0.25">
      <c r="A48" s="329">
        <f t="shared" si="0"/>
        <v>399</v>
      </c>
      <c r="B48" s="166" t="s">
        <v>208</v>
      </c>
      <c r="C48" s="63">
        <v>901121553.89999998</v>
      </c>
      <c r="D48" s="65">
        <v>43427</v>
      </c>
      <c r="E48" s="167" t="s">
        <v>209</v>
      </c>
      <c r="F48" s="36">
        <v>25818</v>
      </c>
      <c r="G48" s="141">
        <v>330918</v>
      </c>
      <c r="H48" s="35">
        <v>233530060.16</v>
      </c>
      <c r="I48" s="171" t="s">
        <v>210</v>
      </c>
      <c r="J48" s="322">
        <f>1462635639.96-73.32</f>
        <v>1462635566.6400001</v>
      </c>
      <c r="K48" s="243">
        <v>43456</v>
      </c>
      <c r="L48" s="121">
        <v>43423</v>
      </c>
    </row>
    <row r="49" spans="1:12" ht="23.25" customHeight="1" x14ac:dyDescent="0.25">
      <c r="A49" s="329">
        <f t="shared" si="0"/>
        <v>400</v>
      </c>
      <c r="B49" s="166" t="s">
        <v>211</v>
      </c>
      <c r="C49" s="63">
        <v>830040391</v>
      </c>
      <c r="D49" s="65">
        <v>43428</v>
      </c>
      <c r="E49" s="167" t="s">
        <v>212</v>
      </c>
      <c r="F49" s="36">
        <v>177718</v>
      </c>
      <c r="G49" s="63">
        <v>331018</v>
      </c>
      <c r="H49" s="63">
        <v>0</v>
      </c>
      <c r="I49" s="171">
        <v>150</v>
      </c>
      <c r="J49" s="322">
        <v>999385281</v>
      </c>
      <c r="K49" s="242">
        <v>43461</v>
      </c>
      <c r="L49" s="121">
        <v>43423</v>
      </c>
    </row>
    <row r="50" spans="1:12" ht="23.25" customHeight="1" x14ac:dyDescent="0.25">
      <c r="A50" s="327">
        <f t="shared" si="0"/>
        <v>401</v>
      </c>
      <c r="B50" s="159" t="s">
        <v>213</v>
      </c>
      <c r="C50" s="172">
        <v>830119276</v>
      </c>
      <c r="D50" s="190">
        <v>43430</v>
      </c>
      <c r="E50" s="173" t="s">
        <v>50</v>
      </c>
      <c r="F50" s="36">
        <v>25018</v>
      </c>
      <c r="G50" s="164">
        <v>334618</v>
      </c>
      <c r="H50" s="326">
        <f>3613800+8432084.1</f>
        <v>12045884.1</v>
      </c>
      <c r="I50" s="325" t="s">
        <v>214</v>
      </c>
      <c r="J50" s="305">
        <f>(22633800+52811474.1)-22633800</f>
        <v>52811474.099999994</v>
      </c>
      <c r="K50" s="242">
        <v>43461</v>
      </c>
      <c r="L50" s="121">
        <v>43423</v>
      </c>
    </row>
    <row r="51" spans="1:12" ht="23.25" customHeight="1" x14ac:dyDescent="0.25">
      <c r="A51" s="328"/>
      <c r="B51" s="159" t="s">
        <v>215</v>
      </c>
      <c r="C51" s="174"/>
      <c r="D51" s="191"/>
      <c r="E51" s="175"/>
      <c r="F51" s="36">
        <v>55718</v>
      </c>
      <c r="G51" s="141">
        <v>334818</v>
      </c>
      <c r="H51" s="35">
        <f>1710000+3990000</f>
        <v>5700000</v>
      </c>
      <c r="I51" s="162" t="s">
        <v>216</v>
      </c>
      <c r="J51" s="114">
        <f>(10710000+24990000)-10710000</f>
        <v>24990000</v>
      </c>
      <c r="K51" s="242">
        <v>43461</v>
      </c>
      <c r="L51" s="121">
        <v>43423</v>
      </c>
    </row>
    <row r="52" spans="1:12" ht="23.25" customHeight="1" x14ac:dyDescent="0.25">
      <c r="A52" s="329">
        <f>A50+1</f>
        <v>402</v>
      </c>
      <c r="B52" s="63" t="s">
        <v>65</v>
      </c>
      <c r="C52" s="142">
        <v>900024202</v>
      </c>
      <c r="D52" s="65">
        <v>43430</v>
      </c>
      <c r="E52" s="192" t="s">
        <v>64</v>
      </c>
      <c r="F52" s="36">
        <v>114918</v>
      </c>
      <c r="G52" s="141">
        <v>335018</v>
      </c>
      <c r="H52" s="326">
        <v>8056349.3399999999</v>
      </c>
      <c r="I52" s="325">
        <v>9899</v>
      </c>
      <c r="J52" s="288">
        <v>50458187.950000003</v>
      </c>
      <c r="K52" s="242">
        <v>43461</v>
      </c>
      <c r="L52" s="121">
        <v>43423</v>
      </c>
    </row>
    <row r="53" spans="1:12" ht="23.25" customHeight="1" x14ac:dyDescent="0.25">
      <c r="A53" s="329">
        <f>A52+1</f>
        <v>403</v>
      </c>
      <c r="B53" s="168" t="s">
        <v>178</v>
      </c>
      <c r="C53" s="63">
        <v>900900730</v>
      </c>
      <c r="D53" s="65">
        <v>43431</v>
      </c>
      <c r="E53" s="168" t="s">
        <v>151</v>
      </c>
      <c r="F53" s="34">
        <v>189918</v>
      </c>
      <c r="G53" s="141">
        <v>339518</v>
      </c>
      <c r="H53" s="35"/>
      <c r="I53" s="171">
        <v>67</v>
      </c>
      <c r="J53" s="117">
        <v>852441280.35000002</v>
      </c>
      <c r="K53" s="242">
        <v>43461</v>
      </c>
      <c r="L53" s="121">
        <v>43423</v>
      </c>
    </row>
    <row r="54" spans="1:12" ht="23.25" customHeight="1" x14ac:dyDescent="0.25">
      <c r="A54" s="329">
        <f t="shared" ref="A54:A60" si="1">A53+1</f>
        <v>404</v>
      </c>
      <c r="B54" s="166" t="s">
        <v>217</v>
      </c>
      <c r="C54" s="167">
        <v>900118932</v>
      </c>
      <c r="D54" s="65">
        <v>43431</v>
      </c>
      <c r="E54" s="167" t="s">
        <v>218</v>
      </c>
      <c r="F54" s="36">
        <v>124018</v>
      </c>
      <c r="G54" s="63">
        <v>340318</v>
      </c>
      <c r="H54" s="326">
        <v>3680289.33</v>
      </c>
      <c r="I54" s="325">
        <v>2792</v>
      </c>
      <c r="J54" s="288">
        <v>24345000</v>
      </c>
      <c r="K54" s="242">
        <v>43461</v>
      </c>
      <c r="L54" s="121">
        <v>43423</v>
      </c>
    </row>
    <row r="55" spans="1:12" ht="23.25" customHeight="1" x14ac:dyDescent="0.25">
      <c r="A55" s="329">
        <f t="shared" si="1"/>
        <v>405</v>
      </c>
      <c r="B55" s="168" t="s">
        <v>219</v>
      </c>
      <c r="C55" s="168">
        <v>830113914</v>
      </c>
      <c r="D55" s="65">
        <v>43431</v>
      </c>
      <c r="E55" s="168" t="s">
        <v>220</v>
      </c>
      <c r="F55" s="116">
        <v>5218</v>
      </c>
      <c r="G55" s="63">
        <v>340818</v>
      </c>
      <c r="H55" s="64">
        <f>16108074.09+10449.56</f>
        <v>16118523.65</v>
      </c>
      <c r="I55" s="171" t="s">
        <v>221</v>
      </c>
      <c r="J55" s="193">
        <v>78378408.629999995</v>
      </c>
      <c r="K55" s="242">
        <v>43461</v>
      </c>
      <c r="L55" s="121">
        <v>43423</v>
      </c>
    </row>
    <row r="56" spans="1:12" ht="23.25" customHeight="1" x14ac:dyDescent="0.25">
      <c r="A56" s="329">
        <f t="shared" si="1"/>
        <v>406</v>
      </c>
      <c r="B56" s="166" t="s">
        <v>222</v>
      </c>
      <c r="C56" s="29">
        <v>890900082</v>
      </c>
      <c r="D56" s="65">
        <v>43431</v>
      </c>
      <c r="E56" s="167" t="s">
        <v>223</v>
      </c>
      <c r="F56" s="36">
        <v>154218</v>
      </c>
      <c r="G56" s="63">
        <v>345618</v>
      </c>
      <c r="H56" s="63">
        <v>0</v>
      </c>
      <c r="I56" s="171" t="s">
        <v>224</v>
      </c>
      <c r="J56" s="322">
        <v>925000020</v>
      </c>
      <c r="K56" s="242">
        <v>43461</v>
      </c>
      <c r="L56" s="121">
        <v>43423</v>
      </c>
    </row>
    <row r="57" spans="1:12" ht="23.25" customHeight="1" x14ac:dyDescent="0.25">
      <c r="A57" s="329">
        <f t="shared" si="1"/>
        <v>407</v>
      </c>
      <c r="B57" s="166" t="s">
        <v>66</v>
      </c>
      <c r="C57" s="63">
        <v>800079939</v>
      </c>
      <c r="D57" s="65">
        <v>43432</v>
      </c>
      <c r="E57" s="167" t="s">
        <v>67</v>
      </c>
      <c r="F57" s="36">
        <v>115018</v>
      </c>
      <c r="G57" s="164">
        <v>345718</v>
      </c>
      <c r="H57" s="326">
        <v>7439410</v>
      </c>
      <c r="I57" s="325">
        <v>37798</v>
      </c>
      <c r="J57" s="305">
        <v>46594200</v>
      </c>
      <c r="K57" s="242">
        <v>43461</v>
      </c>
      <c r="L57" s="121">
        <v>43415</v>
      </c>
    </row>
    <row r="58" spans="1:12" ht="23.25" customHeight="1" x14ac:dyDescent="0.25">
      <c r="A58" s="329">
        <f t="shared" si="1"/>
        <v>408</v>
      </c>
      <c r="B58" s="69" t="s">
        <v>92</v>
      </c>
      <c r="C58" s="141">
        <v>901171503</v>
      </c>
      <c r="D58" s="65">
        <v>43432</v>
      </c>
      <c r="E58" s="70" t="s">
        <v>93</v>
      </c>
      <c r="F58" s="36">
        <v>103218</v>
      </c>
      <c r="G58" s="141">
        <v>345818</v>
      </c>
      <c r="H58" s="35">
        <v>4561501.6399999997</v>
      </c>
      <c r="I58" s="162" t="s">
        <v>225</v>
      </c>
      <c r="J58" s="114">
        <f>28569404.99-2.99</f>
        <v>28569402</v>
      </c>
      <c r="K58" s="242">
        <v>43461</v>
      </c>
      <c r="L58" s="121">
        <v>43423</v>
      </c>
    </row>
    <row r="59" spans="1:12" ht="23.25" customHeight="1" x14ac:dyDescent="0.25">
      <c r="A59" s="327">
        <f t="shared" si="1"/>
        <v>409</v>
      </c>
      <c r="B59" s="166" t="s">
        <v>46</v>
      </c>
      <c r="C59" s="63">
        <v>93385730</v>
      </c>
      <c r="D59" s="65">
        <v>43432</v>
      </c>
      <c r="E59" s="167" t="s">
        <v>47</v>
      </c>
      <c r="F59" s="142">
        <v>164618</v>
      </c>
      <c r="G59" s="63">
        <v>345918</v>
      </c>
      <c r="H59" s="66">
        <v>875523.17</v>
      </c>
      <c r="I59" s="171">
        <v>170</v>
      </c>
      <c r="J59" s="288">
        <f>85728445.68+9177710.82</f>
        <v>94906156.5</v>
      </c>
      <c r="K59" s="242">
        <v>43461</v>
      </c>
      <c r="L59" s="124"/>
    </row>
    <row r="60" spans="1:12" ht="23.25" customHeight="1" x14ac:dyDescent="0.25">
      <c r="A60" s="328"/>
      <c r="B60" s="166" t="s">
        <v>226</v>
      </c>
      <c r="C60" s="63">
        <v>93385730</v>
      </c>
      <c r="D60" s="65">
        <v>43432</v>
      </c>
      <c r="E60" s="167" t="s">
        <v>47</v>
      </c>
      <c r="F60" s="142">
        <v>226418</v>
      </c>
      <c r="G60" s="141">
        <v>346118</v>
      </c>
      <c r="H60" s="66">
        <v>307843.28999999998</v>
      </c>
      <c r="I60" s="171">
        <v>171</v>
      </c>
      <c r="J60" s="288">
        <v>40327470.630000003</v>
      </c>
      <c r="K60" s="242">
        <v>43461</v>
      </c>
      <c r="L60" s="121">
        <v>43423</v>
      </c>
    </row>
    <row r="61" spans="1:12" ht="23.25" customHeight="1" x14ac:dyDescent="0.25">
      <c r="A61" s="324">
        <f>A59+1</f>
        <v>410</v>
      </c>
      <c r="B61" s="166" t="s">
        <v>59</v>
      </c>
      <c r="C61" s="167">
        <v>830108265</v>
      </c>
      <c r="D61" s="65">
        <v>43432</v>
      </c>
      <c r="E61" s="63" t="s">
        <v>60</v>
      </c>
      <c r="F61" s="36">
        <v>124118</v>
      </c>
      <c r="G61" s="63">
        <v>348818</v>
      </c>
      <c r="H61" s="66">
        <v>2350239.84</v>
      </c>
      <c r="I61" s="171">
        <v>6937</v>
      </c>
      <c r="J61" s="114">
        <v>14719923.18</v>
      </c>
      <c r="K61" s="242">
        <v>43461</v>
      </c>
      <c r="L61" s="121">
        <v>43423</v>
      </c>
    </row>
    <row r="62" spans="1:12" ht="23.25" customHeight="1" x14ac:dyDescent="0.25">
      <c r="A62" s="324">
        <f t="shared" si="0"/>
        <v>411</v>
      </c>
      <c r="B62" s="69" t="s">
        <v>94</v>
      </c>
      <c r="C62" s="141" t="s">
        <v>95</v>
      </c>
      <c r="D62" s="65">
        <v>43432</v>
      </c>
      <c r="E62" s="70" t="s">
        <v>96</v>
      </c>
      <c r="F62" s="36">
        <v>161418</v>
      </c>
      <c r="G62" s="63">
        <v>348918</v>
      </c>
      <c r="H62" s="64">
        <v>544499.4</v>
      </c>
      <c r="I62" s="171">
        <v>12035</v>
      </c>
      <c r="J62" s="64">
        <v>3410285.73</v>
      </c>
      <c r="K62" s="242">
        <v>43461</v>
      </c>
      <c r="L62" s="121">
        <v>43423</v>
      </c>
    </row>
    <row r="63" spans="1:12" ht="23.25" customHeight="1" x14ac:dyDescent="0.25">
      <c r="A63" s="324">
        <f t="shared" si="0"/>
        <v>412</v>
      </c>
      <c r="B63" s="69" t="s">
        <v>111</v>
      </c>
      <c r="C63" s="120">
        <v>800212285</v>
      </c>
      <c r="D63" s="194">
        <v>43433</v>
      </c>
      <c r="E63" s="70" t="s">
        <v>44</v>
      </c>
      <c r="F63" s="36">
        <v>208818</v>
      </c>
      <c r="G63" s="141">
        <v>349018</v>
      </c>
      <c r="H63" s="35">
        <v>77322098.129999995</v>
      </c>
      <c r="I63" s="162" t="s">
        <v>227</v>
      </c>
      <c r="J63" s="114">
        <f>253482965.02+230797544.31</f>
        <v>484280509.33000004</v>
      </c>
      <c r="K63" s="242">
        <v>43461</v>
      </c>
      <c r="L63" s="121">
        <v>43423</v>
      </c>
    </row>
    <row r="64" spans="1:12" ht="23.25" customHeight="1" x14ac:dyDescent="0.25">
      <c r="A64" s="324">
        <f t="shared" si="0"/>
        <v>413</v>
      </c>
      <c r="B64" s="143" t="s">
        <v>34</v>
      </c>
      <c r="C64" s="120">
        <v>901124184</v>
      </c>
      <c r="D64" s="194">
        <v>43433</v>
      </c>
      <c r="E64" s="63" t="s">
        <v>24</v>
      </c>
      <c r="F64" s="34">
        <v>72018</v>
      </c>
      <c r="G64" s="141">
        <v>349118</v>
      </c>
      <c r="H64" s="195"/>
      <c r="I64" s="162" t="s">
        <v>228</v>
      </c>
      <c r="J64" s="288">
        <v>1038124838.12</v>
      </c>
      <c r="K64" s="242">
        <v>43461</v>
      </c>
      <c r="L64" s="121">
        <v>43423</v>
      </c>
    </row>
    <row r="65" spans="1:12" ht="43.5" customHeight="1" x14ac:dyDescent="0.25">
      <c r="A65" s="327">
        <f t="shared" si="0"/>
        <v>414</v>
      </c>
      <c r="B65" s="143" t="s">
        <v>35</v>
      </c>
      <c r="C65" s="63">
        <v>901123746</v>
      </c>
      <c r="D65" s="194">
        <v>43434</v>
      </c>
      <c r="E65" s="63" t="s">
        <v>23</v>
      </c>
      <c r="F65" s="142">
        <v>61418</v>
      </c>
      <c r="G65" s="141">
        <v>350818</v>
      </c>
      <c r="H65" s="35"/>
      <c r="I65" s="196" t="s">
        <v>229</v>
      </c>
      <c r="J65" s="288">
        <v>684181418.21000004</v>
      </c>
      <c r="K65" s="242">
        <v>43461</v>
      </c>
      <c r="L65" s="121">
        <v>43431</v>
      </c>
    </row>
    <row r="66" spans="1:12" ht="39.75" customHeight="1" x14ac:dyDescent="0.25">
      <c r="A66" s="328"/>
      <c r="B66" s="143" t="s">
        <v>230</v>
      </c>
      <c r="C66" s="63">
        <v>901123746</v>
      </c>
      <c r="D66" s="194">
        <v>43434</v>
      </c>
      <c r="E66" s="63" t="s">
        <v>23</v>
      </c>
      <c r="F66" s="142">
        <v>210918</v>
      </c>
      <c r="G66" s="141">
        <v>351018</v>
      </c>
      <c r="H66" s="35"/>
      <c r="I66" s="196"/>
      <c r="J66" s="288">
        <v>192977880.63999999</v>
      </c>
      <c r="K66" s="242">
        <v>43461</v>
      </c>
      <c r="L66" s="118">
        <v>43431</v>
      </c>
    </row>
    <row r="67" spans="1:12" ht="44.25" customHeight="1" x14ac:dyDescent="0.25">
      <c r="A67" s="324">
        <f>A65+1</f>
        <v>415</v>
      </c>
      <c r="B67" s="197" t="s">
        <v>384</v>
      </c>
      <c r="C67" s="63">
        <v>830119276</v>
      </c>
      <c r="D67" s="194">
        <v>43434</v>
      </c>
      <c r="E67" s="67" t="s">
        <v>231</v>
      </c>
      <c r="F67" s="34">
        <v>29618</v>
      </c>
      <c r="G67" s="63">
        <v>352318</v>
      </c>
      <c r="H67" s="193">
        <v>183294045</v>
      </c>
      <c r="I67" s="325">
        <v>2318</v>
      </c>
      <c r="J67" s="193">
        <v>1147999545</v>
      </c>
      <c r="K67" s="242">
        <v>43461</v>
      </c>
      <c r="L67" s="121">
        <v>43431</v>
      </c>
    </row>
    <row r="68" spans="1:12" ht="42" customHeight="1" x14ac:dyDescent="0.25">
      <c r="A68" s="324">
        <f t="shared" si="0"/>
        <v>416</v>
      </c>
      <c r="B68" s="166" t="s">
        <v>326</v>
      </c>
      <c r="C68" s="63"/>
      <c r="D68" s="194">
        <v>43437</v>
      </c>
      <c r="E68" s="167" t="s">
        <v>232</v>
      </c>
      <c r="F68" s="36">
        <v>211818</v>
      </c>
      <c r="G68" s="63">
        <v>351218</v>
      </c>
      <c r="H68" s="64">
        <f>36950692.92+50834016.09+21496607.14</f>
        <v>109281316.15000001</v>
      </c>
      <c r="I68" s="162" t="s">
        <v>233</v>
      </c>
      <c r="J68" s="64">
        <f>231428024.05+318381469.21+134636644.71</f>
        <v>684446137.97000003</v>
      </c>
      <c r="K68" s="242">
        <v>43461</v>
      </c>
      <c r="L68" s="121">
        <v>43431</v>
      </c>
    </row>
    <row r="69" spans="1:12" ht="23.25" customHeight="1" x14ac:dyDescent="0.25">
      <c r="A69" s="324">
        <f t="shared" si="0"/>
        <v>417</v>
      </c>
      <c r="B69" s="143" t="s">
        <v>234</v>
      </c>
      <c r="C69" s="63">
        <v>830092305</v>
      </c>
      <c r="D69" s="194">
        <v>43437</v>
      </c>
      <c r="E69" s="63" t="s">
        <v>235</v>
      </c>
      <c r="F69" s="63">
        <v>220818</v>
      </c>
      <c r="G69" s="141">
        <v>352618</v>
      </c>
      <c r="H69" s="35">
        <v>4144850</v>
      </c>
      <c r="I69" s="165">
        <v>100001</v>
      </c>
      <c r="J69" s="288">
        <v>25959850</v>
      </c>
      <c r="K69" s="242">
        <v>43461</v>
      </c>
      <c r="L69" s="121">
        <v>43431</v>
      </c>
    </row>
    <row r="70" spans="1:12" ht="23.25" customHeight="1" x14ac:dyDescent="0.25">
      <c r="A70" s="324">
        <f t="shared" si="0"/>
        <v>418</v>
      </c>
      <c r="B70" s="166" t="s">
        <v>236</v>
      </c>
      <c r="C70" s="63">
        <v>800223867</v>
      </c>
      <c r="D70" s="194">
        <v>43437</v>
      </c>
      <c r="E70" s="167" t="s">
        <v>237</v>
      </c>
      <c r="F70" s="36">
        <v>180518</v>
      </c>
      <c r="G70" s="63">
        <v>352718</v>
      </c>
      <c r="H70" s="35">
        <v>120548413.8</v>
      </c>
      <c r="I70" s="165">
        <v>1807</v>
      </c>
      <c r="J70" s="322">
        <v>755013749.84000003</v>
      </c>
      <c r="K70" s="242">
        <v>43461</v>
      </c>
      <c r="L70" s="121">
        <v>43431</v>
      </c>
    </row>
    <row r="71" spans="1:12" ht="23.25" customHeight="1" x14ac:dyDescent="0.25">
      <c r="A71" s="324">
        <f t="shared" si="0"/>
        <v>419</v>
      </c>
      <c r="B71" s="143" t="s">
        <v>238</v>
      </c>
      <c r="C71" s="63">
        <v>800141397</v>
      </c>
      <c r="D71" s="194">
        <v>43437</v>
      </c>
      <c r="E71" s="63" t="s">
        <v>239</v>
      </c>
      <c r="F71" s="142">
        <v>279518</v>
      </c>
      <c r="G71" s="141">
        <v>352118</v>
      </c>
      <c r="H71" s="35">
        <v>0</v>
      </c>
      <c r="I71" s="198"/>
      <c r="J71" s="288">
        <v>1081999000</v>
      </c>
      <c r="K71" s="242">
        <v>43461</v>
      </c>
      <c r="L71" s="121">
        <v>43431</v>
      </c>
    </row>
    <row r="72" spans="1:12" ht="23.25" customHeight="1" x14ac:dyDescent="0.25">
      <c r="A72" s="324">
        <f t="shared" si="0"/>
        <v>420</v>
      </c>
      <c r="B72" s="244" t="s">
        <v>26</v>
      </c>
      <c r="C72" s="245"/>
      <c r="D72" s="245"/>
      <c r="E72" s="245"/>
      <c r="F72" s="245"/>
      <c r="G72" s="245"/>
      <c r="H72" s="245"/>
      <c r="I72" s="245"/>
      <c r="J72" s="245"/>
      <c r="K72" s="246"/>
      <c r="L72" s="121">
        <v>43431</v>
      </c>
    </row>
    <row r="73" spans="1:12" ht="23.25" customHeight="1" x14ac:dyDescent="0.25">
      <c r="A73" s="324">
        <f t="shared" si="0"/>
        <v>421</v>
      </c>
      <c r="B73" s="166" t="s">
        <v>190</v>
      </c>
      <c r="C73" s="63">
        <v>20197103</v>
      </c>
      <c r="D73" s="194">
        <v>43438</v>
      </c>
      <c r="E73" s="167" t="s">
        <v>191</v>
      </c>
      <c r="F73" s="36">
        <v>105318</v>
      </c>
      <c r="G73" s="141">
        <v>353418</v>
      </c>
      <c r="H73" s="35">
        <v>6563675.3600000003</v>
      </c>
      <c r="I73" s="171">
        <v>1140</v>
      </c>
      <c r="J73" s="117">
        <v>41109335.18</v>
      </c>
      <c r="K73" s="242">
        <v>43461</v>
      </c>
      <c r="L73" s="121">
        <v>43431</v>
      </c>
    </row>
    <row r="74" spans="1:12" ht="23.25" customHeight="1" x14ac:dyDescent="0.25">
      <c r="A74" s="327">
        <f t="shared" si="0"/>
        <v>422</v>
      </c>
      <c r="B74" s="143" t="s">
        <v>241</v>
      </c>
      <c r="C74" s="63">
        <v>860524654</v>
      </c>
      <c r="D74" s="194">
        <v>43439</v>
      </c>
      <c r="E74" s="63" t="s">
        <v>242</v>
      </c>
      <c r="F74" s="36">
        <v>177618</v>
      </c>
      <c r="G74" s="63">
        <v>353518</v>
      </c>
      <c r="H74" s="35">
        <v>213212</v>
      </c>
      <c r="I74" s="196">
        <v>994000000024</v>
      </c>
      <c r="J74" s="199">
        <v>1335376</v>
      </c>
      <c r="K74" s="242">
        <v>43461</v>
      </c>
      <c r="L74" s="121">
        <v>43431</v>
      </c>
    </row>
    <row r="75" spans="1:12" ht="23.25" customHeight="1" x14ac:dyDescent="0.25">
      <c r="A75" s="328"/>
      <c r="B75" s="143" t="s">
        <v>243</v>
      </c>
      <c r="C75" s="63">
        <v>860524654</v>
      </c>
      <c r="D75" s="194">
        <v>43439</v>
      </c>
      <c r="E75" s="63" t="s">
        <v>242</v>
      </c>
      <c r="F75" s="36">
        <v>186618</v>
      </c>
      <c r="G75" s="63">
        <v>353618</v>
      </c>
      <c r="H75" s="35">
        <v>496158</v>
      </c>
      <c r="I75" s="196"/>
      <c r="J75" s="199">
        <v>3107518</v>
      </c>
      <c r="K75" s="242">
        <v>43461</v>
      </c>
      <c r="L75" s="121">
        <v>43431</v>
      </c>
    </row>
    <row r="76" spans="1:12" ht="23.25" customHeight="1" x14ac:dyDescent="0.25">
      <c r="A76" s="324">
        <f>A74+1</f>
        <v>423</v>
      </c>
      <c r="B76" s="143" t="s">
        <v>244</v>
      </c>
      <c r="C76" s="63">
        <v>860002400</v>
      </c>
      <c r="D76" s="194">
        <v>43439</v>
      </c>
      <c r="E76" s="63" t="s">
        <v>245</v>
      </c>
      <c r="F76" s="200">
        <v>179018</v>
      </c>
      <c r="G76" s="141">
        <v>353718</v>
      </c>
      <c r="H76" s="35"/>
      <c r="I76" s="165">
        <v>1007581</v>
      </c>
      <c r="J76" s="199">
        <v>68818251.700000003</v>
      </c>
      <c r="K76" s="242">
        <v>43461</v>
      </c>
      <c r="L76" s="121">
        <v>43431</v>
      </c>
    </row>
    <row r="77" spans="1:12" ht="23.25" customHeight="1" x14ac:dyDescent="0.25">
      <c r="A77" s="329">
        <f>A76+1</f>
        <v>424</v>
      </c>
      <c r="B77" s="166" t="s">
        <v>246</v>
      </c>
      <c r="C77" s="63">
        <v>830141859</v>
      </c>
      <c r="D77" s="194">
        <v>43440</v>
      </c>
      <c r="E77" s="160" t="s">
        <v>247</v>
      </c>
      <c r="F77" s="142">
        <v>1518</v>
      </c>
      <c r="G77" s="141">
        <v>354118</v>
      </c>
      <c r="H77" s="326">
        <v>420368.99</v>
      </c>
      <c r="I77" s="325">
        <v>301</v>
      </c>
      <c r="J77" s="288">
        <v>44222015.990000002</v>
      </c>
      <c r="K77" s="242">
        <v>43461</v>
      </c>
      <c r="L77" s="121">
        <v>43431</v>
      </c>
    </row>
    <row r="78" spans="1:12" ht="93.75" customHeight="1" x14ac:dyDescent="0.25">
      <c r="A78" s="329">
        <f t="shared" ref="A78:A82" si="2">A77+1</f>
        <v>425</v>
      </c>
      <c r="B78" s="143" t="s">
        <v>116</v>
      </c>
      <c r="C78" s="63">
        <v>800075003</v>
      </c>
      <c r="D78" s="194">
        <v>43440</v>
      </c>
      <c r="E78" s="63" t="s">
        <v>117</v>
      </c>
      <c r="F78" s="60">
        <v>205718</v>
      </c>
      <c r="G78" s="141">
        <v>354318</v>
      </c>
      <c r="H78" s="61">
        <v>0</v>
      </c>
      <c r="I78" s="170" t="s">
        <v>248</v>
      </c>
      <c r="J78" s="117">
        <f>459533085+319455535</f>
        <v>778988620</v>
      </c>
      <c r="K78" s="242">
        <v>43461</v>
      </c>
      <c r="L78" s="121">
        <v>43431</v>
      </c>
    </row>
    <row r="79" spans="1:12" ht="23.25" customHeight="1" x14ac:dyDescent="0.25">
      <c r="A79" s="329">
        <f t="shared" si="2"/>
        <v>426</v>
      </c>
      <c r="B79" s="166" t="s">
        <v>249</v>
      </c>
      <c r="C79" s="63">
        <v>900618495</v>
      </c>
      <c r="D79" s="194">
        <v>43441</v>
      </c>
      <c r="E79" s="167" t="s">
        <v>250</v>
      </c>
      <c r="F79" s="36">
        <v>196418</v>
      </c>
      <c r="G79" s="63">
        <v>354818</v>
      </c>
      <c r="H79" s="63">
        <v>0</v>
      </c>
      <c r="I79" s="171">
        <v>144</v>
      </c>
      <c r="J79" s="322">
        <v>250000000</v>
      </c>
      <c r="K79" s="242">
        <v>43461</v>
      </c>
    </row>
    <row r="80" spans="1:12" ht="23.25" customHeight="1" x14ac:dyDescent="0.25">
      <c r="A80" s="324">
        <f t="shared" si="2"/>
        <v>427</v>
      </c>
      <c r="B80" s="143" t="s">
        <v>251</v>
      </c>
      <c r="C80" s="63">
        <v>891700037</v>
      </c>
      <c r="D80" s="194">
        <v>43441</v>
      </c>
      <c r="E80" s="63" t="s">
        <v>252</v>
      </c>
      <c r="F80" s="142">
        <v>214618</v>
      </c>
      <c r="G80" s="63">
        <v>355018</v>
      </c>
      <c r="H80" s="63"/>
      <c r="I80" s="165" t="s">
        <v>253</v>
      </c>
      <c r="J80" s="199">
        <v>7025465656</v>
      </c>
      <c r="K80" s="242">
        <v>43461</v>
      </c>
    </row>
    <row r="81" spans="1:11" ht="23.25" customHeight="1" x14ac:dyDescent="0.25">
      <c r="A81" s="331">
        <f t="shared" si="2"/>
        <v>428</v>
      </c>
      <c r="B81" s="143" t="s">
        <v>254</v>
      </c>
      <c r="C81" s="63">
        <v>860002400</v>
      </c>
      <c r="D81" s="194">
        <v>43441</v>
      </c>
      <c r="E81" s="63" t="s">
        <v>255</v>
      </c>
      <c r="F81" s="36">
        <v>197518</v>
      </c>
      <c r="G81" s="141">
        <v>355218</v>
      </c>
      <c r="H81" s="35">
        <f>18239350.01+50568.84+288433.68</f>
        <v>18578352.530000001</v>
      </c>
      <c r="I81" s="165" t="s">
        <v>256</v>
      </c>
      <c r="J81" s="199">
        <v>116359156</v>
      </c>
      <c r="K81" s="242">
        <v>43461</v>
      </c>
    </row>
    <row r="82" spans="1:11" ht="23.25" customHeight="1" x14ac:dyDescent="0.25">
      <c r="A82" s="331"/>
      <c r="B82" s="143" t="s">
        <v>257</v>
      </c>
      <c r="C82" s="63">
        <v>860002400</v>
      </c>
      <c r="D82" s="194">
        <v>43441</v>
      </c>
      <c r="E82" s="63" t="s">
        <v>255</v>
      </c>
      <c r="F82" s="119">
        <v>226818</v>
      </c>
      <c r="G82" s="141">
        <v>355318</v>
      </c>
      <c r="H82" s="35">
        <f>35526076.93+701008.67+1015615.09</f>
        <v>37242700.690000005</v>
      </c>
      <c r="I82" s="165" t="s">
        <v>258</v>
      </c>
      <c r="J82" s="199">
        <v>233256915</v>
      </c>
      <c r="K82" s="242">
        <v>43461</v>
      </c>
    </row>
    <row r="83" spans="1:11" ht="23.25" customHeight="1" x14ac:dyDescent="0.25">
      <c r="A83" s="63">
        <f>A81+1</f>
        <v>429</v>
      </c>
      <c r="B83" s="166" t="s">
        <v>327</v>
      </c>
      <c r="C83" s="29">
        <v>830069862</v>
      </c>
      <c r="D83" s="194">
        <v>43441</v>
      </c>
      <c r="E83" s="167" t="s">
        <v>259</v>
      </c>
      <c r="F83" s="36">
        <v>149818</v>
      </c>
      <c r="G83" s="141" t="s">
        <v>260</v>
      </c>
      <c r="H83" s="35">
        <f>159690529+99012832</f>
        <v>258703361</v>
      </c>
      <c r="I83" s="201" t="s">
        <v>261</v>
      </c>
      <c r="J83" s="199">
        <f>1000000000+620300000</f>
        <v>1620300000</v>
      </c>
      <c r="K83" s="242">
        <v>43461</v>
      </c>
    </row>
    <row r="84" spans="1:11" ht="23.25" customHeight="1" x14ac:dyDescent="0.25">
      <c r="A84" s="63">
        <f>A83+1</f>
        <v>430</v>
      </c>
      <c r="B84" s="166" t="s">
        <v>109</v>
      </c>
      <c r="C84" s="63">
        <v>52867178</v>
      </c>
      <c r="D84" s="194">
        <v>43441</v>
      </c>
      <c r="E84" s="167" t="s">
        <v>110</v>
      </c>
      <c r="F84" s="36">
        <v>108018</v>
      </c>
      <c r="G84" s="63">
        <v>356318</v>
      </c>
      <c r="H84" s="63">
        <v>0</v>
      </c>
      <c r="I84" s="171" t="s">
        <v>262</v>
      </c>
      <c r="J84" s="64">
        <v>5025129.87</v>
      </c>
      <c r="K84" s="242">
        <v>43461</v>
      </c>
    </row>
    <row r="85" spans="1:11" ht="23.25" customHeight="1" x14ac:dyDescent="0.25">
      <c r="A85" s="63">
        <f t="shared" ref="A85:A86" si="3">A84+1</f>
        <v>431</v>
      </c>
      <c r="B85" s="166" t="s">
        <v>263</v>
      </c>
      <c r="C85" s="63">
        <v>830111836</v>
      </c>
      <c r="D85" s="194">
        <v>43441</v>
      </c>
      <c r="E85" s="167" t="s">
        <v>264</v>
      </c>
      <c r="F85" s="36">
        <v>212018</v>
      </c>
      <c r="G85" s="63">
        <v>356418</v>
      </c>
      <c r="H85" s="63">
        <v>0</v>
      </c>
      <c r="I85" s="171" t="s">
        <v>265</v>
      </c>
      <c r="J85" s="64">
        <f>464056747-43108738</f>
        <v>420948009</v>
      </c>
      <c r="K85" s="242">
        <v>43461</v>
      </c>
    </row>
    <row r="86" spans="1:11" ht="23.25" customHeight="1" x14ac:dyDescent="0.25">
      <c r="A86" s="63">
        <f t="shared" si="3"/>
        <v>432</v>
      </c>
      <c r="B86" s="69" t="s">
        <v>92</v>
      </c>
      <c r="C86" s="141">
        <v>901171503</v>
      </c>
      <c r="D86" s="194">
        <v>43441</v>
      </c>
      <c r="E86" s="70" t="s">
        <v>93</v>
      </c>
      <c r="F86" s="36">
        <v>103218</v>
      </c>
      <c r="G86" s="141">
        <v>356518</v>
      </c>
      <c r="H86" s="35">
        <v>17895151.399999999</v>
      </c>
      <c r="I86" s="162" t="s">
        <v>266</v>
      </c>
      <c r="J86" s="114">
        <f>112080158.75-8.75</f>
        <v>112080150</v>
      </c>
      <c r="K86" s="242">
        <v>43461</v>
      </c>
    </row>
    <row r="87" spans="1:11" ht="23.25" customHeight="1" x14ac:dyDescent="0.25">
      <c r="A87" s="63">
        <f>A86+1</f>
        <v>433</v>
      </c>
      <c r="B87" s="202" t="s">
        <v>267</v>
      </c>
      <c r="C87" s="63">
        <v>860020227</v>
      </c>
      <c r="D87" s="194">
        <v>43444</v>
      </c>
      <c r="E87" s="203" t="s">
        <v>131</v>
      </c>
      <c r="F87" s="68">
        <v>19318</v>
      </c>
      <c r="G87" s="141">
        <v>359718</v>
      </c>
      <c r="H87" s="35">
        <f>239468+33855</f>
        <v>273323</v>
      </c>
      <c r="I87" s="201" t="s">
        <v>268</v>
      </c>
      <c r="J87" s="199">
        <f>151482225.31+21415837.18</f>
        <v>172898062.49000001</v>
      </c>
      <c r="K87" s="242">
        <v>43461</v>
      </c>
    </row>
    <row r="88" spans="1:11" ht="23.25" customHeight="1" x14ac:dyDescent="0.25">
      <c r="A88" s="63">
        <f t="shared" ref="A88:A94" si="4">A87+1</f>
        <v>434</v>
      </c>
      <c r="B88" s="204" t="s">
        <v>269</v>
      </c>
      <c r="C88" s="63">
        <v>830040391</v>
      </c>
      <c r="D88" s="194">
        <v>43444</v>
      </c>
      <c r="E88" s="205" t="s">
        <v>212</v>
      </c>
      <c r="F88" s="68">
        <v>221018</v>
      </c>
      <c r="G88" s="141">
        <v>359818</v>
      </c>
      <c r="H88" s="35">
        <v>0</v>
      </c>
      <c r="I88" s="201">
        <v>153</v>
      </c>
      <c r="J88" s="206">
        <v>477183963</v>
      </c>
      <c r="K88" s="242">
        <v>43461</v>
      </c>
    </row>
    <row r="89" spans="1:11" ht="23.25" customHeight="1" x14ac:dyDescent="0.25">
      <c r="A89" s="63">
        <f t="shared" si="4"/>
        <v>435</v>
      </c>
      <c r="B89" s="202" t="s">
        <v>270</v>
      </c>
      <c r="C89" s="29">
        <v>900244534</v>
      </c>
      <c r="D89" s="194">
        <v>43444</v>
      </c>
      <c r="E89" s="203" t="s">
        <v>271</v>
      </c>
      <c r="F89" s="68">
        <v>280018</v>
      </c>
      <c r="G89" s="141">
        <v>359918</v>
      </c>
      <c r="H89" s="35">
        <v>58372835.5</v>
      </c>
      <c r="I89" s="201">
        <v>607</v>
      </c>
      <c r="J89" s="199">
        <v>365598285.5</v>
      </c>
      <c r="K89" s="242">
        <v>43461</v>
      </c>
    </row>
    <row r="90" spans="1:11" ht="23.25" customHeight="1" x14ac:dyDescent="0.25">
      <c r="A90" s="63">
        <f t="shared" si="4"/>
        <v>436</v>
      </c>
      <c r="B90" s="166" t="s">
        <v>108</v>
      </c>
      <c r="C90" s="63">
        <v>830122566</v>
      </c>
      <c r="D90" s="194">
        <v>43444</v>
      </c>
      <c r="E90" s="167" t="s">
        <v>193</v>
      </c>
      <c r="F90" s="142">
        <v>205818</v>
      </c>
      <c r="G90" s="141">
        <v>366018</v>
      </c>
      <c r="H90" s="35">
        <v>0</v>
      </c>
      <c r="I90" s="162" t="s">
        <v>272</v>
      </c>
      <c r="J90" s="288">
        <v>26421067</v>
      </c>
      <c r="K90" s="242">
        <v>43461</v>
      </c>
    </row>
    <row r="91" spans="1:11" ht="23.25" customHeight="1" x14ac:dyDescent="0.25">
      <c r="A91" s="63">
        <f t="shared" si="4"/>
        <v>437</v>
      </c>
      <c r="B91" s="159" t="s">
        <v>198</v>
      </c>
      <c r="C91" s="63">
        <v>830122566</v>
      </c>
      <c r="D91" s="194">
        <v>43445</v>
      </c>
      <c r="E91" s="159" t="s">
        <v>28</v>
      </c>
      <c r="F91" s="182">
        <v>212118</v>
      </c>
      <c r="G91" s="141">
        <v>360218</v>
      </c>
      <c r="H91" s="35">
        <v>13462669.539999999</v>
      </c>
      <c r="I91" s="162" t="s">
        <v>273</v>
      </c>
      <c r="J91" s="117">
        <f>84318825+0.8</f>
        <v>84318825.799999997</v>
      </c>
      <c r="K91" s="242">
        <v>43461</v>
      </c>
    </row>
    <row r="92" spans="1:11" ht="23.25" customHeight="1" x14ac:dyDescent="0.25">
      <c r="A92" s="63">
        <f t="shared" si="4"/>
        <v>438</v>
      </c>
      <c r="B92" s="159" t="s">
        <v>200</v>
      </c>
      <c r="C92" s="63">
        <v>900452118</v>
      </c>
      <c r="D92" s="194">
        <v>43445</v>
      </c>
      <c r="E92" s="160" t="s">
        <v>201</v>
      </c>
      <c r="F92" s="36">
        <v>229418</v>
      </c>
      <c r="G92" s="141">
        <v>360318</v>
      </c>
      <c r="H92" s="35">
        <v>2194157</v>
      </c>
      <c r="I92" s="171">
        <v>342</v>
      </c>
      <c r="J92" s="117">
        <v>13742349</v>
      </c>
      <c r="K92" s="242">
        <v>43461</v>
      </c>
    </row>
    <row r="93" spans="1:11" ht="23.25" customHeight="1" x14ac:dyDescent="0.25">
      <c r="A93" s="63">
        <f t="shared" si="4"/>
        <v>439</v>
      </c>
      <c r="B93" s="204" t="s">
        <v>274</v>
      </c>
      <c r="C93" s="63">
        <v>900215324</v>
      </c>
      <c r="D93" s="194">
        <v>43445</v>
      </c>
      <c r="E93" s="205" t="s">
        <v>275</v>
      </c>
      <c r="F93" s="68">
        <v>204618</v>
      </c>
      <c r="G93" s="141">
        <v>360418</v>
      </c>
      <c r="H93" s="35">
        <v>0</v>
      </c>
      <c r="I93" s="201">
        <v>261</v>
      </c>
      <c r="J93" s="206">
        <v>248544000</v>
      </c>
      <c r="K93" s="242">
        <v>43461</v>
      </c>
    </row>
    <row r="94" spans="1:11" ht="23.25" customHeight="1" x14ac:dyDescent="0.25">
      <c r="A94" s="63">
        <f t="shared" si="4"/>
        <v>440</v>
      </c>
      <c r="B94" s="204" t="s">
        <v>276</v>
      </c>
      <c r="C94" s="63">
        <v>900965260</v>
      </c>
      <c r="D94" s="194">
        <v>43445</v>
      </c>
      <c r="E94" s="205" t="s">
        <v>277</v>
      </c>
      <c r="F94" s="68">
        <v>205918</v>
      </c>
      <c r="G94" s="141">
        <v>360818</v>
      </c>
      <c r="H94" s="35">
        <v>12453686.42</v>
      </c>
      <c r="I94" s="201">
        <v>119</v>
      </c>
      <c r="J94" s="206">
        <v>77999404.420000002</v>
      </c>
      <c r="K94" s="242">
        <v>43461</v>
      </c>
    </row>
    <row r="95" spans="1:11" ht="23.25" customHeight="1" x14ac:dyDescent="0.25">
      <c r="A95" s="172">
        <f>A94+1</f>
        <v>441</v>
      </c>
      <c r="B95" s="207" t="s">
        <v>102</v>
      </c>
      <c r="C95" s="208">
        <v>890922465</v>
      </c>
      <c r="D95" s="190">
        <v>43446</v>
      </c>
      <c r="E95" s="209" t="s">
        <v>103</v>
      </c>
      <c r="F95" s="63">
        <v>107718</v>
      </c>
      <c r="G95" s="63">
        <v>363318</v>
      </c>
      <c r="H95" s="210">
        <v>159600</v>
      </c>
      <c r="I95" s="211">
        <v>22074</v>
      </c>
      <c r="J95" s="64">
        <v>2400</v>
      </c>
      <c r="K95" s="242">
        <v>43461</v>
      </c>
    </row>
    <row r="96" spans="1:11" ht="23.25" customHeight="1" x14ac:dyDescent="0.25">
      <c r="A96" s="174"/>
      <c r="B96" s="207" t="s">
        <v>278</v>
      </c>
      <c r="C96" s="212"/>
      <c r="D96" s="191"/>
      <c r="E96" s="213"/>
      <c r="F96" s="63">
        <v>222118</v>
      </c>
      <c r="G96" s="141">
        <v>363418</v>
      </c>
      <c r="H96" s="214"/>
      <c r="I96" s="215"/>
      <c r="J96" s="199">
        <v>997200</v>
      </c>
      <c r="K96" s="242">
        <v>43461</v>
      </c>
    </row>
    <row r="97" spans="1:11" ht="23.25" customHeight="1" x14ac:dyDescent="0.25">
      <c r="A97" s="63">
        <f t="shared" ref="A84:A125" si="5">A95+1</f>
        <v>442</v>
      </c>
      <c r="B97" s="111" t="s">
        <v>279</v>
      </c>
      <c r="C97" s="29">
        <v>830047479</v>
      </c>
      <c r="D97" s="194">
        <v>43447</v>
      </c>
      <c r="E97" s="112" t="s">
        <v>280</v>
      </c>
      <c r="F97" s="68">
        <v>177018</v>
      </c>
      <c r="G97" s="141">
        <v>364518</v>
      </c>
      <c r="H97" s="35">
        <v>64032480.770000003</v>
      </c>
      <c r="I97" s="165">
        <v>69803</v>
      </c>
      <c r="J97" s="216">
        <v>401045537.94999999</v>
      </c>
      <c r="K97" s="242">
        <v>43461</v>
      </c>
    </row>
    <row r="98" spans="1:11" ht="23.25" customHeight="1" x14ac:dyDescent="0.25">
      <c r="A98" s="63">
        <f>A97+1</f>
        <v>443</v>
      </c>
      <c r="B98" s="166" t="s">
        <v>226</v>
      </c>
      <c r="C98" s="63">
        <v>93385730</v>
      </c>
      <c r="D98" s="194">
        <v>43447</v>
      </c>
      <c r="E98" s="167" t="s">
        <v>47</v>
      </c>
      <c r="F98" s="142">
        <v>226418</v>
      </c>
      <c r="G98" s="141">
        <v>365918</v>
      </c>
      <c r="H98" s="66">
        <v>77125.919999999998</v>
      </c>
      <c r="I98" s="171">
        <v>172</v>
      </c>
      <c r="J98" s="288">
        <v>10103496.210000001</v>
      </c>
      <c r="K98" s="242">
        <v>43461</v>
      </c>
    </row>
    <row r="99" spans="1:11" ht="23.25" customHeight="1" x14ac:dyDescent="0.25">
      <c r="A99" s="63">
        <f t="shared" ref="A99:A119" si="6">A98+1</f>
        <v>444</v>
      </c>
      <c r="B99" s="204" t="s">
        <v>281</v>
      </c>
      <c r="C99" s="217">
        <v>800007813</v>
      </c>
      <c r="D99" s="218">
        <v>43447</v>
      </c>
      <c r="E99" s="205" t="s">
        <v>282</v>
      </c>
      <c r="F99" s="115">
        <v>209018</v>
      </c>
      <c r="G99" s="219">
        <v>366018</v>
      </c>
      <c r="H99" s="220">
        <v>0</v>
      </c>
      <c r="I99" s="221">
        <v>9118012134</v>
      </c>
      <c r="J99" s="222">
        <v>76094113.989999995</v>
      </c>
      <c r="K99" s="242">
        <v>43461</v>
      </c>
    </row>
    <row r="100" spans="1:11" ht="45.75" customHeight="1" x14ac:dyDescent="0.25">
      <c r="A100" s="63">
        <f t="shared" si="6"/>
        <v>445</v>
      </c>
      <c r="B100" s="143" t="s">
        <v>283</v>
      </c>
      <c r="C100" s="63">
        <v>830095213</v>
      </c>
      <c r="D100" s="194">
        <v>43447</v>
      </c>
      <c r="E100" s="200" t="s">
        <v>119</v>
      </c>
      <c r="F100" s="36">
        <v>212218</v>
      </c>
      <c r="G100" s="141">
        <v>366118</v>
      </c>
      <c r="H100" s="35">
        <v>0</v>
      </c>
      <c r="I100" s="165" t="s">
        <v>284</v>
      </c>
      <c r="J100" s="199">
        <v>787381878</v>
      </c>
      <c r="K100" s="242">
        <v>43461</v>
      </c>
    </row>
    <row r="101" spans="1:11" ht="23.25" customHeight="1" x14ac:dyDescent="0.25">
      <c r="A101" s="63">
        <f t="shared" si="6"/>
        <v>446</v>
      </c>
      <c r="B101" s="166" t="s">
        <v>109</v>
      </c>
      <c r="C101" s="63">
        <v>52867178</v>
      </c>
      <c r="D101" s="194">
        <v>43447</v>
      </c>
      <c r="E101" s="167" t="s">
        <v>110</v>
      </c>
      <c r="F101" s="36">
        <v>108018</v>
      </c>
      <c r="G101" s="63">
        <v>366218</v>
      </c>
      <c r="H101" s="63">
        <v>0</v>
      </c>
      <c r="I101" s="171" t="s">
        <v>285</v>
      </c>
      <c r="J101" s="64">
        <v>9884528.2599999998</v>
      </c>
      <c r="K101" s="242">
        <v>43461</v>
      </c>
    </row>
    <row r="102" spans="1:11" ht="23.25" customHeight="1" x14ac:dyDescent="0.25">
      <c r="A102" s="63">
        <f t="shared" si="6"/>
        <v>447</v>
      </c>
      <c r="B102" s="159" t="s">
        <v>286</v>
      </c>
      <c r="C102" s="29">
        <v>800222505</v>
      </c>
      <c r="D102" s="194">
        <v>43448</v>
      </c>
      <c r="E102" s="160" t="s">
        <v>287</v>
      </c>
      <c r="F102" s="36">
        <v>245318</v>
      </c>
      <c r="G102" s="141">
        <v>366818</v>
      </c>
      <c r="H102" s="35">
        <f>6851176+13702353</f>
        <v>20553529</v>
      </c>
      <c r="I102" s="171" t="s">
        <v>288</v>
      </c>
      <c r="J102" s="322">
        <v>128730000</v>
      </c>
      <c r="K102" s="242">
        <v>43461</v>
      </c>
    </row>
    <row r="103" spans="1:11" ht="42" customHeight="1" x14ac:dyDescent="0.25">
      <c r="A103" s="63">
        <f t="shared" si="6"/>
        <v>448</v>
      </c>
      <c r="B103" s="143" t="s">
        <v>45</v>
      </c>
      <c r="C103" s="63">
        <v>860020227</v>
      </c>
      <c r="D103" s="194">
        <v>43448</v>
      </c>
      <c r="E103" s="63" t="s">
        <v>43</v>
      </c>
      <c r="F103" s="36">
        <v>4118</v>
      </c>
      <c r="G103" s="63">
        <v>366918</v>
      </c>
      <c r="H103" s="66">
        <v>0</v>
      </c>
      <c r="I103" s="165" t="s">
        <v>289</v>
      </c>
      <c r="J103" s="114">
        <v>179844000</v>
      </c>
      <c r="K103" s="242">
        <v>43461</v>
      </c>
    </row>
    <row r="104" spans="1:11" ht="23.25" customHeight="1" x14ac:dyDescent="0.25">
      <c r="A104" s="63">
        <f t="shared" si="6"/>
        <v>449</v>
      </c>
      <c r="B104" s="202" t="s">
        <v>290</v>
      </c>
      <c r="C104" s="29">
        <v>900818501</v>
      </c>
      <c r="D104" s="194">
        <v>43448</v>
      </c>
      <c r="E104" s="203" t="s">
        <v>291</v>
      </c>
      <c r="F104" s="68">
        <v>253018</v>
      </c>
      <c r="G104" s="141">
        <v>367418</v>
      </c>
      <c r="H104" s="35">
        <v>30815126</v>
      </c>
      <c r="I104" s="201" t="s">
        <v>292</v>
      </c>
      <c r="J104" s="206">
        <v>193000000</v>
      </c>
      <c r="K104" s="242">
        <v>43461</v>
      </c>
    </row>
    <row r="105" spans="1:11" ht="23.25" customHeight="1" x14ac:dyDescent="0.25">
      <c r="A105" s="63">
        <f t="shared" si="6"/>
        <v>450</v>
      </c>
      <c r="B105" s="69" t="s">
        <v>92</v>
      </c>
      <c r="C105" s="141">
        <v>901171503</v>
      </c>
      <c r="D105" s="194">
        <v>43451</v>
      </c>
      <c r="E105" s="70" t="s">
        <v>93</v>
      </c>
      <c r="F105" s="36">
        <v>103218</v>
      </c>
      <c r="G105" s="141">
        <v>367518</v>
      </c>
      <c r="H105" s="35">
        <f>25348935.62+2382843.53</f>
        <v>27731779.150000002</v>
      </c>
      <c r="I105" s="162" t="s">
        <v>293</v>
      </c>
      <c r="J105" s="114">
        <f>(158764386.27+14924125.27)-(12.27+1.27)</f>
        <v>173688498.00000003</v>
      </c>
      <c r="K105" s="242">
        <v>43461</v>
      </c>
    </row>
    <row r="106" spans="1:11" ht="72" customHeight="1" x14ac:dyDescent="0.25">
      <c r="A106" s="63">
        <f t="shared" si="6"/>
        <v>451</v>
      </c>
      <c r="B106" s="143" t="s">
        <v>283</v>
      </c>
      <c r="C106" s="63">
        <v>830095213</v>
      </c>
      <c r="D106" s="194">
        <v>43451</v>
      </c>
      <c r="E106" s="200" t="s">
        <v>119</v>
      </c>
      <c r="F106" s="36">
        <v>212218</v>
      </c>
      <c r="G106" s="181" t="s">
        <v>294</v>
      </c>
      <c r="H106" s="35"/>
      <c r="I106" s="165" t="s">
        <v>295</v>
      </c>
      <c r="J106" s="199">
        <f>886737160-58701</f>
        <v>886678459</v>
      </c>
      <c r="K106" s="242">
        <v>43461</v>
      </c>
    </row>
    <row r="107" spans="1:11" ht="23.25" customHeight="1" x14ac:dyDescent="0.25">
      <c r="A107" s="63">
        <f t="shared" si="6"/>
        <v>452</v>
      </c>
      <c r="B107" s="159" t="s">
        <v>296</v>
      </c>
      <c r="C107" s="63">
        <v>890900082</v>
      </c>
      <c r="D107" s="194">
        <v>43451</v>
      </c>
      <c r="E107" s="160" t="s">
        <v>297</v>
      </c>
      <c r="F107" s="36">
        <v>234318</v>
      </c>
      <c r="G107" s="141">
        <v>368218</v>
      </c>
      <c r="H107" s="35">
        <v>0</v>
      </c>
      <c r="I107" s="165" t="s">
        <v>298</v>
      </c>
      <c r="J107" s="322">
        <v>509000000</v>
      </c>
      <c r="K107" s="242">
        <v>43461</v>
      </c>
    </row>
    <row r="108" spans="1:11" ht="23.25" customHeight="1" x14ac:dyDescent="0.25">
      <c r="A108" s="63">
        <f t="shared" si="6"/>
        <v>453</v>
      </c>
      <c r="B108" s="143" t="s">
        <v>299</v>
      </c>
      <c r="C108" s="29">
        <v>800242738</v>
      </c>
      <c r="D108" s="194">
        <v>43451</v>
      </c>
      <c r="E108" s="116" t="s">
        <v>300</v>
      </c>
      <c r="F108" s="223">
        <v>229618</v>
      </c>
      <c r="G108" s="141">
        <v>368318</v>
      </c>
      <c r="H108" s="35">
        <v>2406088.25</v>
      </c>
      <c r="I108" s="165">
        <v>18538</v>
      </c>
      <c r="J108" s="64">
        <v>121642380.51000001</v>
      </c>
      <c r="K108" s="242">
        <v>43461</v>
      </c>
    </row>
    <row r="109" spans="1:11" ht="23.25" customHeight="1" x14ac:dyDescent="0.25">
      <c r="A109" s="63">
        <f t="shared" si="6"/>
        <v>454</v>
      </c>
      <c r="B109" s="224" t="s">
        <v>301</v>
      </c>
      <c r="C109" s="63">
        <v>830051298</v>
      </c>
      <c r="D109" s="194">
        <v>43451</v>
      </c>
      <c r="E109" s="167" t="s">
        <v>302</v>
      </c>
      <c r="F109" s="36">
        <v>93618</v>
      </c>
      <c r="G109" s="141">
        <v>368618</v>
      </c>
      <c r="H109" s="326">
        <v>505609</v>
      </c>
      <c r="I109" s="325">
        <v>6004</v>
      </c>
      <c r="J109" s="305">
        <v>3166709</v>
      </c>
      <c r="K109" s="242">
        <v>43461</v>
      </c>
    </row>
    <row r="110" spans="1:11" ht="23.25" customHeight="1" x14ac:dyDescent="0.25">
      <c r="A110" s="63">
        <f t="shared" si="6"/>
        <v>455</v>
      </c>
      <c r="B110" s="143" t="s">
        <v>303</v>
      </c>
      <c r="C110" s="63"/>
      <c r="D110" s="194">
        <v>43452</v>
      </c>
      <c r="E110" s="143" t="s">
        <v>304</v>
      </c>
      <c r="F110" s="63">
        <v>205418</v>
      </c>
      <c r="G110" s="141">
        <v>371118</v>
      </c>
      <c r="H110" s="35">
        <v>0</v>
      </c>
      <c r="I110" s="165" t="s">
        <v>305</v>
      </c>
      <c r="J110" s="64">
        <f>217992.49*(3400)</f>
        <v>741174466</v>
      </c>
      <c r="K110" s="242">
        <v>43461</v>
      </c>
    </row>
    <row r="111" spans="1:11" ht="23.25" customHeight="1" x14ac:dyDescent="0.25">
      <c r="A111" s="63">
        <f t="shared" si="6"/>
        <v>456</v>
      </c>
      <c r="B111" s="166" t="s">
        <v>306</v>
      </c>
      <c r="C111" s="63">
        <v>800141397</v>
      </c>
      <c r="D111" s="194">
        <v>43452</v>
      </c>
      <c r="E111" s="168" t="s">
        <v>307</v>
      </c>
      <c r="F111" s="36">
        <v>19518</v>
      </c>
      <c r="G111" s="141">
        <v>371218</v>
      </c>
      <c r="H111" s="35">
        <v>0</v>
      </c>
      <c r="I111" s="165">
        <v>133983996</v>
      </c>
      <c r="J111" s="322">
        <v>1004328550</v>
      </c>
      <c r="K111" s="242">
        <v>43461</v>
      </c>
    </row>
    <row r="112" spans="1:11" ht="23.25" customHeight="1" x14ac:dyDescent="0.25">
      <c r="A112" s="63">
        <f t="shared" si="6"/>
        <v>457</v>
      </c>
      <c r="B112" s="159" t="s">
        <v>170</v>
      </c>
      <c r="C112" s="63">
        <v>124255</v>
      </c>
      <c r="D112" s="194">
        <v>43452</v>
      </c>
      <c r="E112" s="160" t="s">
        <v>171</v>
      </c>
      <c r="F112" s="168">
        <v>229518</v>
      </c>
      <c r="G112" s="141">
        <v>371318</v>
      </c>
      <c r="H112" s="61">
        <v>2373252</v>
      </c>
      <c r="I112" s="163">
        <v>5128</v>
      </c>
      <c r="J112" s="117">
        <v>14864052</v>
      </c>
      <c r="K112" s="242">
        <v>43461</v>
      </c>
    </row>
    <row r="113" spans="1:11" ht="23.25" customHeight="1" x14ac:dyDescent="0.25">
      <c r="A113" s="63">
        <f t="shared" si="6"/>
        <v>458</v>
      </c>
      <c r="B113" s="192" t="s">
        <v>278</v>
      </c>
      <c r="C113" s="120">
        <v>890922465</v>
      </c>
      <c r="D113" s="194">
        <v>43452</v>
      </c>
      <c r="E113" s="225" t="s">
        <v>103</v>
      </c>
      <c r="F113" s="63">
        <v>222118</v>
      </c>
      <c r="G113" s="141">
        <v>371418</v>
      </c>
      <c r="H113" s="226">
        <v>77520</v>
      </c>
      <c r="I113" s="165">
        <v>22208</v>
      </c>
      <c r="J113" s="199">
        <v>485520</v>
      </c>
      <c r="K113" s="242">
        <v>43461</v>
      </c>
    </row>
    <row r="114" spans="1:11" ht="30.75" customHeight="1" x14ac:dyDescent="0.25">
      <c r="A114" s="63">
        <f t="shared" si="6"/>
        <v>459</v>
      </c>
      <c r="B114" s="62" t="s">
        <v>328</v>
      </c>
      <c r="C114" s="63">
        <v>830121654</v>
      </c>
      <c r="D114" s="267">
        <v>43453</v>
      </c>
      <c r="E114" s="63" t="s">
        <v>308</v>
      </c>
      <c r="F114" s="36">
        <v>72718</v>
      </c>
      <c r="G114" s="146">
        <v>372118</v>
      </c>
      <c r="H114" s="35">
        <v>0</v>
      </c>
      <c r="I114" s="165" t="s">
        <v>309</v>
      </c>
      <c r="J114" s="199">
        <v>7901500000</v>
      </c>
      <c r="K114" s="242">
        <v>43461</v>
      </c>
    </row>
    <row r="115" spans="1:11" ht="23.25" customHeight="1" x14ac:dyDescent="0.25">
      <c r="A115" s="172">
        <f t="shared" si="6"/>
        <v>460</v>
      </c>
      <c r="B115" s="166" t="s">
        <v>27</v>
      </c>
      <c r="C115" s="172">
        <v>891410137</v>
      </c>
      <c r="D115" s="268">
        <v>43453</v>
      </c>
      <c r="E115" s="227" t="s">
        <v>22</v>
      </c>
      <c r="F115" s="142">
        <v>2718</v>
      </c>
      <c r="G115" s="141">
        <v>372218</v>
      </c>
      <c r="H115" s="326">
        <v>0</v>
      </c>
      <c r="I115" s="228" t="s">
        <v>310</v>
      </c>
      <c r="J115" s="288">
        <v>1527938.21</v>
      </c>
      <c r="K115" s="242">
        <v>43461</v>
      </c>
    </row>
    <row r="116" spans="1:11" ht="23.25" customHeight="1" x14ac:dyDescent="0.25">
      <c r="A116" s="238"/>
      <c r="B116" s="166" t="s">
        <v>33</v>
      </c>
      <c r="C116" s="238"/>
      <c r="D116" s="269"/>
      <c r="E116" s="229"/>
      <c r="F116" s="142">
        <v>35018</v>
      </c>
      <c r="G116" s="141">
        <v>372318</v>
      </c>
      <c r="H116" s="326">
        <v>0</v>
      </c>
      <c r="I116" s="230"/>
      <c r="J116" s="288">
        <v>183707654.53999999</v>
      </c>
      <c r="K116" s="242">
        <v>43461</v>
      </c>
    </row>
    <row r="117" spans="1:11" ht="23.25" customHeight="1" x14ac:dyDescent="0.25">
      <c r="A117" s="238"/>
      <c r="B117" s="166" t="s">
        <v>311</v>
      </c>
      <c r="C117" s="238"/>
      <c r="D117" s="269"/>
      <c r="E117" s="229"/>
      <c r="F117" s="63">
        <v>214218</v>
      </c>
      <c r="G117" s="141">
        <v>372518</v>
      </c>
      <c r="H117" s="35">
        <v>0</v>
      </c>
      <c r="I117" s="230"/>
      <c r="J117" s="64">
        <v>50000000</v>
      </c>
      <c r="K117" s="242">
        <v>43461</v>
      </c>
    </row>
    <row r="118" spans="1:11" ht="23.25" customHeight="1" x14ac:dyDescent="0.25">
      <c r="A118" s="174"/>
      <c r="B118" s="166" t="s">
        <v>312</v>
      </c>
      <c r="C118" s="174"/>
      <c r="D118" s="270"/>
      <c r="E118" s="231"/>
      <c r="F118" s="63">
        <v>224018</v>
      </c>
      <c r="G118" s="141">
        <v>372718</v>
      </c>
      <c r="H118" s="35">
        <v>0</v>
      </c>
      <c r="I118" s="232"/>
      <c r="J118" s="64">
        <v>55500000</v>
      </c>
      <c r="K118" s="242">
        <v>43461</v>
      </c>
    </row>
    <row r="119" spans="1:11" ht="53.25" customHeight="1" x14ac:dyDescent="0.25">
      <c r="A119" s="63">
        <f>A115+1</f>
        <v>461</v>
      </c>
      <c r="B119" s="143" t="s">
        <v>313</v>
      </c>
      <c r="C119" s="141">
        <v>901123746</v>
      </c>
      <c r="D119" s="267">
        <v>43453</v>
      </c>
      <c r="E119" s="63" t="s">
        <v>23</v>
      </c>
      <c r="F119" s="142">
        <v>224118</v>
      </c>
      <c r="G119" s="141">
        <v>372818</v>
      </c>
      <c r="H119" s="35">
        <v>0</v>
      </c>
      <c r="I119" s="198" t="s">
        <v>314</v>
      </c>
      <c r="J119" s="288">
        <v>374281169.83999997</v>
      </c>
      <c r="K119" s="242">
        <v>43461</v>
      </c>
    </row>
    <row r="120" spans="1:11" ht="23.25" customHeight="1" x14ac:dyDescent="0.25">
      <c r="A120" s="172">
        <f>A119+1</f>
        <v>462</v>
      </c>
      <c r="B120" s="143" t="s">
        <v>315</v>
      </c>
      <c r="C120" s="151">
        <v>901124184</v>
      </c>
      <c r="D120" s="268">
        <v>43453</v>
      </c>
      <c r="E120" s="233" t="s">
        <v>24</v>
      </c>
      <c r="F120" s="34">
        <v>208718</v>
      </c>
      <c r="G120" s="141">
        <v>373018</v>
      </c>
      <c r="H120" s="195">
        <v>0</v>
      </c>
      <c r="I120" s="196" t="s">
        <v>316</v>
      </c>
      <c r="J120" s="288">
        <v>100000000</v>
      </c>
      <c r="K120" s="242">
        <v>43461</v>
      </c>
    </row>
    <row r="121" spans="1:11" ht="23.25" customHeight="1" x14ac:dyDescent="0.25">
      <c r="A121" s="174"/>
      <c r="B121" s="143" t="s">
        <v>317</v>
      </c>
      <c r="C121" s="151"/>
      <c r="D121" s="270"/>
      <c r="E121" s="233"/>
      <c r="F121" s="63">
        <v>223918</v>
      </c>
      <c r="G121" s="141">
        <v>373118</v>
      </c>
      <c r="H121" s="35">
        <v>0</v>
      </c>
      <c r="I121" s="196"/>
      <c r="J121" s="64">
        <v>364500250.49000001</v>
      </c>
      <c r="K121" s="242">
        <v>43461</v>
      </c>
    </row>
    <row r="122" spans="1:11" ht="23.25" customHeight="1" x14ac:dyDescent="0.25">
      <c r="A122" s="63">
        <f t="shared" si="5"/>
        <v>463</v>
      </c>
      <c r="B122" s="159" t="s">
        <v>318</v>
      </c>
      <c r="C122" s="63">
        <v>804002433</v>
      </c>
      <c r="D122" s="234">
        <v>43453</v>
      </c>
      <c r="E122" s="160" t="s">
        <v>319</v>
      </c>
      <c r="F122" s="36">
        <v>279918</v>
      </c>
      <c r="G122" s="141">
        <v>373318</v>
      </c>
      <c r="H122" s="35"/>
      <c r="I122" s="198"/>
      <c r="J122" s="322">
        <v>2294000</v>
      </c>
      <c r="K122" s="242">
        <v>43461</v>
      </c>
    </row>
    <row r="123" spans="1:11" ht="23.25" customHeight="1" x14ac:dyDescent="0.25">
      <c r="A123" s="63">
        <f>A122+1</f>
        <v>464</v>
      </c>
      <c r="B123" s="159" t="s">
        <v>320</v>
      </c>
      <c r="C123" s="63">
        <v>860020227</v>
      </c>
      <c r="D123" s="234">
        <v>43453</v>
      </c>
      <c r="E123" s="160" t="s">
        <v>43</v>
      </c>
      <c r="F123" s="36">
        <v>269118</v>
      </c>
      <c r="G123" s="141">
        <v>373418</v>
      </c>
      <c r="H123" s="35">
        <v>452238</v>
      </c>
      <c r="I123" s="165" t="s">
        <v>321</v>
      </c>
      <c r="J123" s="64">
        <f>2832437.09-0.17</f>
        <v>2832436.92</v>
      </c>
      <c r="K123" s="242">
        <v>43461</v>
      </c>
    </row>
    <row r="124" spans="1:11" ht="23.25" customHeight="1" x14ac:dyDescent="0.25">
      <c r="A124" s="172">
        <f>A123+1</f>
        <v>465</v>
      </c>
      <c r="B124" s="266" t="s">
        <v>322</v>
      </c>
      <c r="C124" s="63">
        <v>900215324</v>
      </c>
      <c r="D124" s="271">
        <v>43453</v>
      </c>
      <c r="E124" s="239" t="s">
        <v>323</v>
      </c>
      <c r="F124" s="240">
        <v>178218</v>
      </c>
      <c r="G124" s="63">
        <v>387718</v>
      </c>
      <c r="H124" s="35">
        <v>0</v>
      </c>
      <c r="I124" s="241">
        <v>262</v>
      </c>
      <c r="J124" s="322">
        <v>1228655221.03</v>
      </c>
      <c r="K124" s="242">
        <v>43461</v>
      </c>
    </row>
    <row r="125" spans="1:11" ht="23.25" customHeight="1" x14ac:dyDescent="0.25">
      <c r="A125" s="174"/>
      <c r="B125" s="266"/>
      <c r="C125" s="63"/>
      <c r="D125" s="272"/>
      <c r="E125" s="239"/>
      <c r="F125" s="240"/>
      <c r="G125" s="63">
        <v>387818</v>
      </c>
      <c r="H125" s="35">
        <v>0</v>
      </c>
      <c r="I125" s="241"/>
      <c r="J125" s="322">
        <v>867065678.97000003</v>
      </c>
      <c r="K125" s="242">
        <v>43461</v>
      </c>
    </row>
    <row r="126" spans="1:11" ht="23.25" customHeight="1" x14ac:dyDescent="0.25">
      <c r="A126" s="29"/>
      <c r="B126" s="367"/>
      <c r="C126" s="368"/>
      <c r="D126" s="368"/>
      <c r="E126" s="368"/>
      <c r="F126" s="368"/>
      <c r="G126" s="368"/>
      <c r="H126" s="273"/>
      <c r="I126" s="369"/>
      <c r="J126" s="273"/>
      <c r="K126" s="368"/>
    </row>
    <row r="127" spans="1:11" ht="23.25" customHeight="1" x14ac:dyDescent="0.25">
      <c r="A127" s="29"/>
      <c r="B127" s="367"/>
      <c r="C127" s="368"/>
      <c r="D127" s="368"/>
      <c r="E127" s="368"/>
      <c r="F127" s="368"/>
      <c r="G127" s="368"/>
      <c r="H127" s="273"/>
      <c r="I127" s="369"/>
      <c r="J127" s="273"/>
      <c r="K127" s="368"/>
    </row>
    <row r="128" spans="1:11" ht="23.25" customHeight="1" x14ac:dyDescent="0.25">
      <c r="A128" s="29"/>
      <c r="B128" s="367"/>
      <c r="C128" s="368"/>
      <c r="D128" s="368"/>
      <c r="E128" s="368"/>
      <c r="F128" s="368"/>
      <c r="G128" s="368"/>
      <c r="H128" s="273"/>
      <c r="I128" s="369"/>
      <c r="J128" s="273"/>
      <c r="K128" s="368"/>
    </row>
    <row r="129" spans="1:11" ht="23.25" customHeight="1" x14ac:dyDescent="0.25">
      <c r="A129" s="29"/>
      <c r="B129" s="367"/>
      <c r="C129" s="368"/>
      <c r="D129" s="368"/>
      <c r="E129" s="368"/>
      <c r="F129" s="368"/>
      <c r="G129" s="368"/>
      <c r="H129" s="273"/>
      <c r="I129" s="369"/>
      <c r="J129" s="273"/>
      <c r="K129" s="368"/>
    </row>
    <row r="130" spans="1:11" ht="23.25" customHeight="1" x14ac:dyDescent="0.25">
      <c r="A130" s="29"/>
      <c r="B130" s="367"/>
      <c r="C130" s="368"/>
      <c r="D130" s="368"/>
      <c r="E130" s="368"/>
      <c r="F130" s="368"/>
      <c r="G130" s="368"/>
      <c r="H130" s="273"/>
      <c r="I130" s="369"/>
      <c r="J130" s="273"/>
      <c r="K130" s="368"/>
    </row>
    <row r="131" spans="1:11" ht="23.25" customHeight="1" x14ac:dyDescent="0.25">
      <c r="A131" s="29"/>
      <c r="B131" s="367"/>
      <c r="C131" s="368"/>
      <c r="D131" s="368"/>
      <c r="E131" s="368"/>
      <c r="F131" s="368"/>
      <c r="G131" s="368"/>
      <c r="H131" s="273"/>
      <c r="I131" s="369"/>
      <c r="J131" s="273"/>
      <c r="K131" s="368"/>
    </row>
    <row r="132" spans="1:11" ht="23.25" customHeight="1" x14ac:dyDescent="0.25">
      <c r="A132" s="29"/>
      <c r="B132" s="367"/>
      <c r="C132" s="368"/>
      <c r="D132" s="368"/>
      <c r="E132" s="368"/>
      <c r="F132" s="368"/>
      <c r="G132" s="368"/>
      <c r="H132" s="273"/>
      <c r="I132" s="369"/>
      <c r="J132" s="273"/>
      <c r="K132" s="368"/>
    </row>
    <row r="133" spans="1:11" ht="23.25" customHeight="1" x14ac:dyDescent="0.25">
      <c r="A133" s="29"/>
      <c r="B133" s="367"/>
      <c r="C133" s="368"/>
      <c r="D133" s="368"/>
      <c r="E133" s="368"/>
      <c r="F133" s="368"/>
      <c r="G133" s="368"/>
      <c r="H133" s="273"/>
      <c r="I133" s="369"/>
      <c r="J133" s="273"/>
      <c r="K133" s="368"/>
    </row>
  </sheetData>
  <mergeCells count="59">
    <mergeCell ref="A120:A121"/>
    <mergeCell ref="C120:C121"/>
    <mergeCell ref="I120:I121"/>
    <mergeCell ref="A124:A125"/>
    <mergeCell ref="D124:D125"/>
    <mergeCell ref="I124:I125"/>
    <mergeCell ref="A81:A82"/>
    <mergeCell ref="A95:A96"/>
    <mergeCell ref="C95:C96"/>
    <mergeCell ref="H95:H96"/>
    <mergeCell ref="A115:A118"/>
    <mergeCell ref="C115:C118"/>
    <mergeCell ref="A19:A20"/>
    <mergeCell ref="A24:A25"/>
    <mergeCell ref="C24:C25"/>
    <mergeCell ref="A26:A27"/>
    <mergeCell ref="D26:D27"/>
    <mergeCell ref="A28:A29"/>
    <mergeCell ref="C28:C29"/>
    <mergeCell ref="A35:A36"/>
    <mergeCell ref="C35:C36"/>
    <mergeCell ref="A43:A44"/>
    <mergeCell ref="C43:C44"/>
    <mergeCell ref="E43:E44"/>
    <mergeCell ref="I43:I44"/>
    <mergeCell ref="A50:A51"/>
    <mergeCell ref="C50:C51"/>
    <mergeCell ref="B124:B125"/>
    <mergeCell ref="E124:E125"/>
    <mergeCell ref="F124:F125"/>
    <mergeCell ref="D120:D121"/>
    <mergeCell ref="E120:E121"/>
    <mergeCell ref="D115:D118"/>
    <mergeCell ref="E115:E118"/>
    <mergeCell ref="I115:I118"/>
    <mergeCell ref="D95:D96"/>
    <mergeCell ref="E95:E96"/>
    <mergeCell ref="I95:I96"/>
    <mergeCell ref="I65:I66"/>
    <mergeCell ref="I74:I75"/>
    <mergeCell ref="B72:K72"/>
    <mergeCell ref="D50:D51"/>
    <mergeCell ref="E50:E51"/>
    <mergeCell ref="D35:D36"/>
    <mergeCell ref="E35:E36"/>
    <mergeCell ref="E26:E27"/>
    <mergeCell ref="D28:D29"/>
    <mergeCell ref="E28:E29"/>
    <mergeCell ref="D24:D25"/>
    <mergeCell ref="E24:E25"/>
    <mergeCell ref="A1:K1"/>
    <mergeCell ref="A2:K2"/>
    <mergeCell ref="A3:K3"/>
    <mergeCell ref="A7:K7"/>
    <mergeCell ref="A8:H8"/>
    <mergeCell ref="A5:K5"/>
    <mergeCell ref="A59:A60"/>
    <mergeCell ref="A65:A66"/>
    <mergeCell ref="A74:A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47"/>
  <sheetViews>
    <sheetView zoomScale="60" zoomScaleNormal="60" workbookViewId="0">
      <pane ySplit="10" topLeftCell="A11" activePane="bottomLeft" state="frozen"/>
      <selection activeCell="B26" sqref="B26"/>
      <selection pane="bottomLeft" activeCell="I31" sqref="I31"/>
    </sheetView>
  </sheetViews>
  <sheetFormatPr baseColWidth="10" defaultRowHeight="23.25" customHeight="1" x14ac:dyDescent="0.25"/>
  <cols>
    <col min="1" max="1" width="10.5703125" style="29" customWidth="1"/>
    <col min="2" max="2" width="37.7109375" style="26" customWidth="1"/>
    <col min="3" max="3" width="21.140625" style="26" customWidth="1"/>
    <col min="4" max="4" width="16.5703125" style="26" customWidth="1"/>
    <col min="5" max="5" width="41.42578125" style="26" hidden="1" customWidth="1"/>
    <col min="6" max="6" width="18.7109375" style="26" hidden="1" customWidth="1"/>
    <col min="7" max="7" width="27.28515625" style="26" hidden="1" customWidth="1"/>
    <col min="8" max="8" width="21.5703125" style="13" hidden="1" customWidth="1"/>
    <col min="9" max="9" width="35.85546875" style="18" customWidth="1"/>
    <col min="10" max="10" width="27.140625" style="13" customWidth="1"/>
    <col min="11" max="11" width="21.140625" style="26" customWidth="1"/>
    <col min="12" max="12" width="15" style="26" hidden="1" customWidth="1"/>
    <col min="13" max="13" width="42.7109375" style="27" customWidth="1"/>
    <col min="14" max="14" width="43.28515625" style="27" customWidth="1"/>
    <col min="15" max="15" width="32" style="27" customWidth="1"/>
    <col min="16" max="16" width="40.5703125" style="27" customWidth="1"/>
    <col min="17" max="17" width="34.42578125" style="27" customWidth="1"/>
    <col min="18" max="18" width="34" style="27" customWidth="1"/>
    <col min="19" max="19" width="44.28515625" style="27" customWidth="1"/>
    <col min="20" max="20" width="33.5703125" style="27" customWidth="1"/>
    <col min="21" max="109" width="11.42578125" style="27"/>
    <col min="110" max="16384" width="11.42578125" style="26"/>
  </cols>
  <sheetData>
    <row r="1" spans="1:109" ht="23.25" customHeight="1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4" t="s">
        <v>14</v>
      </c>
    </row>
    <row r="2" spans="1:109" ht="23.25" customHeight="1" x14ac:dyDescent="0.25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"/>
    </row>
    <row r="3" spans="1:109" ht="23.25" customHeight="1" x14ac:dyDescent="0.25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"/>
    </row>
    <row r="4" spans="1:109" ht="23.25" customHeight="1" x14ac:dyDescent="0.25">
      <c r="A4" s="7"/>
      <c r="B4" s="8"/>
      <c r="C4" s="9"/>
      <c r="D4" s="10"/>
      <c r="E4" s="11"/>
      <c r="F4" s="12"/>
      <c r="H4" s="26"/>
      <c r="I4" s="57"/>
      <c r="J4" s="8"/>
      <c r="K4" s="9"/>
      <c r="L4" s="21"/>
    </row>
    <row r="5" spans="1:109" ht="23.25" customHeight="1" x14ac:dyDescent="0.25">
      <c r="A5" s="152" t="s">
        <v>156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"/>
    </row>
    <row r="6" spans="1:109" ht="23.25" customHeight="1" x14ac:dyDescent="0.25">
      <c r="A6" s="27"/>
      <c r="H6" s="26"/>
      <c r="J6" s="26"/>
      <c r="K6" s="31" t="s">
        <v>26</v>
      </c>
      <c r="L6" s="26" t="s">
        <v>15</v>
      </c>
    </row>
    <row r="7" spans="1:109" ht="23.25" customHeight="1" x14ac:dyDescent="0.25">
      <c r="A7" s="153" t="s">
        <v>31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26" t="s">
        <v>16</v>
      </c>
    </row>
    <row r="8" spans="1:109" ht="23.25" customHeight="1" x14ac:dyDescent="0.25">
      <c r="A8" s="152" t="s">
        <v>17</v>
      </c>
      <c r="B8" s="152"/>
      <c r="C8" s="152"/>
      <c r="D8" s="152"/>
      <c r="E8" s="152"/>
      <c r="F8" s="152"/>
      <c r="G8" s="152"/>
      <c r="H8" s="152"/>
      <c r="I8" s="22"/>
      <c r="J8" s="23"/>
      <c r="K8" s="27"/>
      <c r="L8" s="26" t="s">
        <v>18</v>
      </c>
    </row>
    <row r="9" spans="1:109" ht="23.25" customHeight="1" x14ac:dyDescent="0.25">
      <c r="G9" s="16" t="s">
        <v>19</v>
      </c>
      <c r="H9" s="15">
        <f>10399521*0.16</f>
        <v>1663923.36</v>
      </c>
      <c r="I9" s="23"/>
      <c r="J9" s="30"/>
      <c r="K9" s="19"/>
      <c r="L9" s="26" t="s">
        <v>20</v>
      </c>
    </row>
    <row r="10" spans="1:109" s="17" customFormat="1" ht="30.75" customHeight="1" x14ac:dyDescent="0.25">
      <c r="A10" s="340" t="s">
        <v>21</v>
      </c>
      <c r="B10" s="340" t="s">
        <v>0</v>
      </c>
      <c r="C10" s="341" t="s">
        <v>1</v>
      </c>
      <c r="D10" s="342" t="s">
        <v>2</v>
      </c>
      <c r="E10" s="343" t="s">
        <v>3</v>
      </c>
      <c r="F10" s="340" t="s">
        <v>4</v>
      </c>
      <c r="G10" s="344" t="s">
        <v>5</v>
      </c>
      <c r="H10" s="345" t="s">
        <v>6</v>
      </c>
      <c r="I10" s="340" t="s">
        <v>7</v>
      </c>
      <c r="J10" s="346" t="s">
        <v>8</v>
      </c>
      <c r="K10" s="347" t="s">
        <v>9</v>
      </c>
      <c r="L10" s="5" t="s">
        <v>10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</row>
    <row r="11" spans="1:109" ht="36" customHeight="1" x14ac:dyDescent="0.25">
      <c r="A11" s="63">
        <v>90</v>
      </c>
      <c r="B11" s="73" t="s">
        <v>61</v>
      </c>
      <c r="C11" s="76">
        <v>860067479</v>
      </c>
      <c r="D11" s="134">
        <v>43423</v>
      </c>
      <c r="E11" s="76" t="s">
        <v>62</v>
      </c>
      <c r="F11" s="51">
        <v>75118</v>
      </c>
      <c r="G11" s="74">
        <v>314318</v>
      </c>
      <c r="H11" s="33"/>
      <c r="I11" s="54">
        <v>120554</v>
      </c>
      <c r="J11" s="126">
        <v>7799044.6799999997</v>
      </c>
      <c r="K11" s="101">
        <v>43456</v>
      </c>
      <c r="L11" s="339">
        <v>43423</v>
      </c>
      <c r="M11" s="28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</row>
    <row r="12" spans="1:109" ht="26.25" customHeight="1" x14ac:dyDescent="0.25">
      <c r="A12" s="63">
        <f t="shared" ref="A12:A31" si="0">A11+1</f>
        <v>91</v>
      </c>
      <c r="B12" s="128" t="s">
        <v>108</v>
      </c>
      <c r="C12" s="74">
        <v>830122566</v>
      </c>
      <c r="D12" s="134">
        <v>43423</v>
      </c>
      <c r="E12" s="133" t="s">
        <v>193</v>
      </c>
      <c r="F12" s="76">
        <v>205818</v>
      </c>
      <c r="G12" s="127" t="s">
        <v>329</v>
      </c>
      <c r="H12" s="33">
        <v>0</v>
      </c>
      <c r="I12" s="247" t="s">
        <v>330</v>
      </c>
      <c r="J12" s="126">
        <f>1305605900.32-26421067</f>
        <v>1279184833.3199999</v>
      </c>
      <c r="K12" s="101">
        <v>43456</v>
      </c>
      <c r="L12" s="339">
        <v>43423</v>
      </c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</row>
    <row r="13" spans="1:109" ht="34.5" customHeight="1" x14ac:dyDescent="0.25">
      <c r="A13" s="63">
        <f t="shared" si="0"/>
        <v>92</v>
      </c>
      <c r="B13" s="248" t="s">
        <v>112</v>
      </c>
      <c r="C13" s="76">
        <v>830095213</v>
      </c>
      <c r="D13" s="134">
        <v>43425</v>
      </c>
      <c r="E13" s="76" t="s">
        <v>113</v>
      </c>
      <c r="F13" s="249">
        <v>115118</v>
      </c>
      <c r="G13" s="49">
        <v>322318</v>
      </c>
      <c r="H13" s="74">
        <v>0</v>
      </c>
      <c r="I13" s="145" t="s">
        <v>331</v>
      </c>
      <c r="J13" s="250">
        <f>71722040-2</f>
        <v>71722038</v>
      </c>
      <c r="K13" s="101">
        <v>43456</v>
      </c>
      <c r="L13" s="339">
        <v>43423</v>
      </c>
    </row>
    <row r="14" spans="1:109" ht="23.25" customHeight="1" x14ac:dyDescent="0.25">
      <c r="A14" s="63">
        <f t="shared" si="0"/>
        <v>93</v>
      </c>
      <c r="B14" s="73" t="s">
        <v>203</v>
      </c>
      <c r="C14" s="74">
        <v>830073623</v>
      </c>
      <c r="D14" s="134">
        <v>43425</v>
      </c>
      <c r="E14" s="74" t="s">
        <v>204</v>
      </c>
      <c r="F14" s="76">
        <v>184118</v>
      </c>
      <c r="G14" s="251">
        <v>326318</v>
      </c>
      <c r="H14" s="323">
        <v>0</v>
      </c>
      <c r="I14" s="32">
        <v>4134</v>
      </c>
      <c r="J14" s="79">
        <v>35406634.549999997</v>
      </c>
      <c r="K14" s="101">
        <v>43456</v>
      </c>
      <c r="L14" s="339">
        <v>43423</v>
      </c>
    </row>
    <row r="15" spans="1:109" ht="69.75" customHeight="1" x14ac:dyDescent="0.25">
      <c r="A15" s="120">
        <f t="shared" si="0"/>
        <v>94</v>
      </c>
      <c r="B15" s="128" t="s">
        <v>114</v>
      </c>
      <c r="C15" s="74">
        <v>8300011113</v>
      </c>
      <c r="D15" s="75">
        <v>43426</v>
      </c>
      <c r="E15" s="133" t="s">
        <v>115</v>
      </c>
      <c r="F15" s="76">
        <v>199118</v>
      </c>
      <c r="G15" s="58" t="s">
        <v>332</v>
      </c>
      <c r="H15" s="33"/>
      <c r="I15" s="356" t="s">
        <v>206</v>
      </c>
      <c r="J15" s="77">
        <v>70507500</v>
      </c>
      <c r="K15" s="101">
        <v>43456</v>
      </c>
      <c r="L15" s="339">
        <v>43423</v>
      </c>
    </row>
    <row r="16" spans="1:109" ht="23.25" customHeight="1" x14ac:dyDescent="0.25">
      <c r="A16" s="120">
        <f t="shared" si="0"/>
        <v>95</v>
      </c>
      <c r="B16" s="252" t="s">
        <v>219</v>
      </c>
      <c r="C16" s="252">
        <v>830113914</v>
      </c>
      <c r="D16" s="253">
        <v>43431</v>
      </c>
      <c r="E16" s="252" t="s">
        <v>220</v>
      </c>
      <c r="F16" s="248">
        <v>5218</v>
      </c>
      <c r="G16" s="74">
        <v>341018</v>
      </c>
      <c r="H16" s="77">
        <f>16108074.09+10449.56</f>
        <v>16118523.65</v>
      </c>
      <c r="I16" s="58" t="s">
        <v>221</v>
      </c>
      <c r="J16" s="254">
        <v>23963656.239999998</v>
      </c>
      <c r="K16" s="101">
        <v>43456</v>
      </c>
      <c r="L16" s="339">
        <v>43423</v>
      </c>
    </row>
    <row r="17" spans="1:12" ht="48" customHeight="1" x14ac:dyDescent="0.25">
      <c r="A17" s="120">
        <f t="shared" si="0"/>
        <v>96</v>
      </c>
      <c r="B17" s="128" t="s">
        <v>46</v>
      </c>
      <c r="C17" s="74">
        <v>93385730</v>
      </c>
      <c r="D17" s="253">
        <v>43432</v>
      </c>
      <c r="E17" s="133" t="s">
        <v>47</v>
      </c>
      <c r="F17" s="76">
        <v>164618</v>
      </c>
      <c r="G17" s="74">
        <v>346018</v>
      </c>
      <c r="H17" s="78">
        <v>875523.17</v>
      </c>
      <c r="I17" s="32">
        <v>170</v>
      </c>
      <c r="J17" s="77">
        <v>19787378.469999999</v>
      </c>
      <c r="K17" s="101">
        <v>43456</v>
      </c>
      <c r="L17" s="339">
        <v>43423</v>
      </c>
    </row>
    <row r="18" spans="1:12" ht="23.25" customHeight="1" x14ac:dyDescent="0.25">
      <c r="A18" s="120">
        <f t="shared" si="0"/>
        <v>97</v>
      </c>
      <c r="B18" s="73" t="s">
        <v>34</v>
      </c>
      <c r="C18" s="129">
        <v>901124184</v>
      </c>
      <c r="D18" s="130">
        <v>43433</v>
      </c>
      <c r="E18" s="74" t="s">
        <v>24</v>
      </c>
      <c r="F18" s="49">
        <v>72018</v>
      </c>
      <c r="G18" s="58">
        <v>349218</v>
      </c>
      <c r="H18" s="255"/>
      <c r="I18" s="256" t="s">
        <v>228</v>
      </c>
      <c r="J18" s="126">
        <v>85966618.489999995</v>
      </c>
      <c r="K18" s="101">
        <v>43456</v>
      </c>
      <c r="L18" s="339">
        <v>43423</v>
      </c>
    </row>
    <row r="19" spans="1:12" ht="23.25" customHeight="1" x14ac:dyDescent="0.25">
      <c r="A19" s="151">
        <f t="shared" si="0"/>
        <v>98</v>
      </c>
      <c r="B19" s="73" t="s">
        <v>35</v>
      </c>
      <c r="C19" s="74">
        <v>901123746</v>
      </c>
      <c r="D19" s="130">
        <v>43434</v>
      </c>
      <c r="E19" s="74" t="s">
        <v>23</v>
      </c>
      <c r="F19" s="76">
        <v>61418</v>
      </c>
      <c r="G19" s="58">
        <v>350918</v>
      </c>
      <c r="H19" s="33"/>
      <c r="I19" s="357" t="s">
        <v>229</v>
      </c>
      <c r="J19" s="126">
        <v>48243553.640000001</v>
      </c>
      <c r="K19" s="101">
        <v>43456</v>
      </c>
      <c r="L19" s="339">
        <v>43423</v>
      </c>
    </row>
    <row r="20" spans="1:12" ht="36.75" customHeight="1" x14ac:dyDescent="0.25">
      <c r="A20" s="151"/>
      <c r="B20" s="73" t="s">
        <v>230</v>
      </c>
      <c r="C20" s="74">
        <v>901123746</v>
      </c>
      <c r="D20" s="130">
        <v>43434</v>
      </c>
      <c r="E20" s="74" t="s">
        <v>23</v>
      </c>
      <c r="F20" s="76">
        <v>210918</v>
      </c>
      <c r="G20" s="58">
        <v>351118</v>
      </c>
      <c r="H20" s="33"/>
      <c r="I20" s="357"/>
      <c r="J20" s="126">
        <v>6374886.3399999999</v>
      </c>
      <c r="K20" s="101">
        <v>43456</v>
      </c>
      <c r="L20" s="339">
        <v>43423</v>
      </c>
    </row>
    <row r="21" spans="1:12" ht="44.25" customHeight="1" x14ac:dyDescent="0.25">
      <c r="A21" s="120">
        <f>A19+1</f>
        <v>99</v>
      </c>
      <c r="B21" s="73" t="s">
        <v>244</v>
      </c>
      <c r="C21" s="74">
        <v>860002400</v>
      </c>
      <c r="D21" s="130">
        <v>43440</v>
      </c>
      <c r="E21" s="74" t="s">
        <v>245</v>
      </c>
      <c r="F21" s="76">
        <v>179018</v>
      </c>
      <c r="G21" s="58">
        <v>353818</v>
      </c>
      <c r="H21" s="33"/>
      <c r="I21" s="257">
        <v>1007581</v>
      </c>
      <c r="J21" s="365">
        <v>15131147.300000001</v>
      </c>
      <c r="K21" s="101">
        <v>43456</v>
      </c>
      <c r="L21" s="339">
        <v>43423</v>
      </c>
    </row>
    <row r="22" spans="1:12" ht="23.25" customHeight="1" x14ac:dyDescent="0.25">
      <c r="A22" s="120">
        <f t="shared" si="0"/>
        <v>100</v>
      </c>
      <c r="B22" s="128" t="s">
        <v>246</v>
      </c>
      <c r="C22" s="74">
        <v>830141859</v>
      </c>
      <c r="D22" s="130">
        <v>43440</v>
      </c>
      <c r="E22" s="133" t="s">
        <v>247</v>
      </c>
      <c r="F22" s="76">
        <v>1518</v>
      </c>
      <c r="G22" s="58">
        <v>354118</v>
      </c>
      <c r="H22" s="132">
        <v>420368.99</v>
      </c>
      <c r="I22" s="258">
        <v>301</v>
      </c>
      <c r="J22" s="77">
        <v>12837540.810000001</v>
      </c>
      <c r="K22" s="101">
        <v>43456</v>
      </c>
      <c r="L22" s="339">
        <v>43431</v>
      </c>
    </row>
    <row r="23" spans="1:12" ht="23.25" customHeight="1" x14ac:dyDescent="0.25">
      <c r="A23" s="120">
        <f t="shared" si="0"/>
        <v>101</v>
      </c>
      <c r="B23" s="73" t="s">
        <v>251</v>
      </c>
      <c r="C23" s="74">
        <v>891700037</v>
      </c>
      <c r="D23" s="130">
        <v>43441</v>
      </c>
      <c r="E23" s="74" t="s">
        <v>252</v>
      </c>
      <c r="F23" s="76">
        <v>214618</v>
      </c>
      <c r="G23" s="58">
        <v>355118</v>
      </c>
      <c r="H23" s="33"/>
      <c r="I23" s="259" t="s">
        <v>253</v>
      </c>
      <c r="J23" s="79">
        <v>2000000000</v>
      </c>
      <c r="K23" s="101">
        <v>43461</v>
      </c>
      <c r="L23" s="339">
        <v>43431</v>
      </c>
    </row>
    <row r="24" spans="1:12" ht="23.25" customHeight="1" x14ac:dyDescent="0.25">
      <c r="A24" s="120">
        <f t="shared" si="0"/>
        <v>102</v>
      </c>
      <c r="B24" s="128" t="s">
        <v>108</v>
      </c>
      <c r="C24" s="74">
        <v>830122566</v>
      </c>
      <c r="D24" s="130">
        <v>43444</v>
      </c>
      <c r="E24" s="133" t="s">
        <v>193</v>
      </c>
      <c r="F24" s="76">
        <v>205818</v>
      </c>
      <c r="G24" s="58">
        <v>360118</v>
      </c>
      <c r="H24" s="33">
        <v>0</v>
      </c>
      <c r="I24" s="247" t="s">
        <v>272</v>
      </c>
      <c r="J24" s="126">
        <f>1305605900.32-26421067</f>
        <v>1279184833.3199999</v>
      </c>
      <c r="K24" s="101">
        <v>43461</v>
      </c>
      <c r="L24" s="339">
        <v>43431</v>
      </c>
    </row>
    <row r="25" spans="1:12" ht="38.25" customHeight="1" x14ac:dyDescent="0.25">
      <c r="A25" s="120">
        <f t="shared" si="0"/>
        <v>103</v>
      </c>
      <c r="B25" s="128" t="s">
        <v>333</v>
      </c>
      <c r="C25" s="133">
        <v>830001113</v>
      </c>
      <c r="D25" s="75">
        <v>43447</v>
      </c>
      <c r="E25" s="133" t="s">
        <v>115</v>
      </c>
      <c r="F25" s="51">
        <v>15818</v>
      </c>
      <c r="G25" s="58">
        <v>366418</v>
      </c>
      <c r="H25" s="77">
        <v>0</v>
      </c>
      <c r="I25" s="145">
        <v>92718</v>
      </c>
      <c r="J25" s="260">
        <v>282908092.5</v>
      </c>
      <c r="K25" s="101">
        <v>43461</v>
      </c>
      <c r="L25" s="339">
        <v>43431</v>
      </c>
    </row>
    <row r="26" spans="1:12" ht="23.25" customHeight="1" x14ac:dyDescent="0.25">
      <c r="A26" s="120">
        <f t="shared" si="0"/>
        <v>104</v>
      </c>
      <c r="B26" s="73" t="s">
        <v>299</v>
      </c>
      <c r="C26" s="74">
        <v>800242738</v>
      </c>
      <c r="D26" s="130">
        <v>43451</v>
      </c>
      <c r="E26" s="248" t="s">
        <v>300</v>
      </c>
      <c r="F26" s="51">
        <v>229618</v>
      </c>
      <c r="G26" s="58">
        <v>368418</v>
      </c>
      <c r="H26" s="33"/>
      <c r="I26" s="257">
        <v>18538</v>
      </c>
      <c r="J26" s="77">
        <v>8666293.6799999997</v>
      </c>
      <c r="K26" s="101">
        <v>43461</v>
      </c>
      <c r="L26" s="48"/>
    </row>
    <row r="27" spans="1:12" ht="23.25" customHeight="1" x14ac:dyDescent="0.25">
      <c r="A27" s="120">
        <f t="shared" si="0"/>
        <v>105</v>
      </c>
      <c r="B27" s="128" t="s">
        <v>333</v>
      </c>
      <c r="C27" s="133">
        <v>830001113</v>
      </c>
      <c r="D27" s="75">
        <v>43451</v>
      </c>
      <c r="E27" s="133" t="s">
        <v>115</v>
      </c>
      <c r="F27" s="51">
        <v>15818</v>
      </c>
      <c r="G27" s="58">
        <v>368518</v>
      </c>
      <c r="H27" s="77">
        <v>0</v>
      </c>
      <c r="I27" s="145">
        <v>92787</v>
      </c>
      <c r="J27" s="260">
        <v>282908093</v>
      </c>
      <c r="K27" s="101">
        <v>43461</v>
      </c>
      <c r="L27" s="48"/>
    </row>
    <row r="28" spans="1:12" ht="71.25" customHeight="1" x14ac:dyDescent="0.25">
      <c r="A28" s="120">
        <f t="shared" si="0"/>
        <v>106</v>
      </c>
      <c r="B28" s="128" t="s">
        <v>33</v>
      </c>
      <c r="C28" s="129">
        <v>891410137</v>
      </c>
      <c r="D28" s="130">
        <v>43453</v>
      </c>
      <c r="E28" s="131" t="s">
        <v>22</v>
      </c>
      <c r="F28" s="76">
        <v>35018</v>
      </c>
      <c r="G28" s="58">
        <v>372418</v>
      </c>
      <c r="H28" s="132"/>
      <c r="I28" s="358" t="s">
        <v>310</v>
      </c>
      <c r="J28" s="77">
        <v>39948575.469999999</v>
      </c>
      <c r="K28" s="101">
        <v>43461</v>
      </c>
      <c r="L28" s="48"/>
    </row>
    <row r="29" spans="1:12" ht="48" customHeight="1" x14ac:dyDescent="0.25">
      <c r="A29" s="120">
        <f t="shared" si="0"/>
        <v>107</v>
      </c>
      <c r="B29" s="73" t="s">
        <v>334</v>
      </c>
      <c r="C29" s="74">
        <v>901123746</v>
      </c>
      <c r="D29" s="130">
        <v>43453</v>
      </c>
      <c r="E29" s="74" t="s">
        <v>23</v>
      </c>
      <c r="F29" s="76">
        <v>210918</v>
      </c>
      <c r="G29" s="58">
        <v>372918</v>
      </c>
      <c r="H29" s="33"/>
      <c r="I29" s="248" t="s">
        <v>314</v>
      </c>
      <c r="J29" s="237">
        <v>100647233.02</v>
      </c>
      <c r="K29" s="101">
        <v>43461</v>
      </c>
      <c r="L29" s="48"/>
    </row>
    <row r="30" spans="1:12" ht="44.25" customHeight="1" x14ac:dyDescent="0.25">
      <c r="A30" s="120">
        <f t="shared" si="0"/>
        <v>108</v>
      </c>
      <c r="B30" s="128" t="s">
        <v>335</v>
      </c>
      <c r="C30" s="133">
        <v>901124184</v>
      </c>
      <c r="D30" s="261">
        <v>43453</v>
      </c>
      <c r="E30" s="133" t="s">
        <v>24</v>
      </c>
      <c r="F30" s="51">
        <v>231318</v>
      </c>
      <c r="G30" s="58">
        <v>373218</v>
      </c>
      <c r="H30" s="33">
        <v>0</v>
      </c>
      <c r="I30" s="248" t="s">
        <v>316</v>
      </c>
      <c r="J30" s="126">
        <v>292515753.63</v>
      </c>
      <c r="K30" s="101">
        <v>43461</v>
      </c>
      <c r="L30" s="48"/>
    </row>
    <row r="31" spans="1:12" ht="64.5" customHeight="1" x14ac:dyDescent="0.25">
      <c r="A31" s="120">
        <f t="shared" si="0"/>
        <v>109</v>
      </c>
      <c r="B31" s="74" t="s">
        <v>336</v>
      </c>
      <c r="C31" s="74">
        <v>830001113</v>
      </c>
      <c r="D31" s="262">
        <v>43455</v>
      </c>
      <c r="E31" s="248" t="s">
        <v>337</v>
      </c>
      <c r="F31" s="51">
        <v>128318</v>
      </c>
      <c r="G31" s="58">
        <v>379618</v>
      </c>
      <c r="H31" s="33">
        <v>0</v>
      </c>
      <c r="I31" s="263" t="s">
        <v>338</v>
      </c>
      <c r="J31" s="236">
        <v>98367629.719999999</v>
      </c>
      <c r="K31" s="101">
        <v>43461</v>
      </c>
      <c r="L31" s="48"/>
    </row>
    <row r="32" spans="1:12" ht="23.25" customHeight="1" x14ac:dyDescent="0.25">
      <c r="A32" s="141"/>
      <c r="B32" s="353"/>
      <c r="C32" s="353"/>
      <c r="D32" s="353"/>
      <c r="E32" s="353"/>
      <c r="F32" s="353"/>
      <c r="G32" s="353"/>
      <c r="H32" s="354"/>
      <c r="I32" s="355"/>
      <c r="J32" s="354"/>
      <c r="K32" s="353"/>
      <c r="L32" s="48"/>
    </row>
    <row r="33" spans="1:12" ht="23.25" customHeight="1" x14ac:dyDescent="0.25">
      <c r="A33" s="141"/>
      <c r="B33" s="353"/>
      <c r="C33" s="353"/>
      <c r="D33" s="353"/>
      <c r="E33" s="353"/>
      <c r="F33" s="353"/>
      <c r="G33" s="353"/>
      <c r="H33" s="354"/>
      <c r="I33" s="355"/>
      <c r="J33" s="354"/>
      <c r="K33" s="353"/>
      <c r="L33" s="48"/>
    </row>
    <row r="34" spans="1:12" ht="23.25" customHeight="1" x14ac:dyDescent="0.25">
      <c r="A34" s="141"/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48"/>
    </row>
    <row r="35" spans="1:12" ht="23.25" customHeight="1" x14ac:dyDescent="0.25">
      <c r="A35" s="141"/>
      <c r="B35" s="353"/>
      <c r="C35" s="353"/>
      <c r="D35" s="353"/>
      <c r="E35" s="353"/>
      <c r="F35" s="353"/>
      <c r="G35" s="353"/>
      <c r="H35" s="354"/>
      <c r="I35" s="355"/>
      <c r="J35" s="354"/>
      <c r="K35" s="353"/>
      <c r="L35" s="48"/>
    </row>
    <row r="36" spans="1:12" ht="23.25" customHeight="1" x14ac:dyDescent="0.25">
      <c r="A36" s="141"/>
      <c r="B36" s="353"/>
      <c r="C36" s="353"/>
      <c r="D36" s="353"/>
      <c r="E36" s="353"/>
      <c r="F36" s="353"/>
      <c r="G36" s="353"/>
      <c r="H36" s="354"/>
      <c r="I36" s="355"/>
      <c r="J36" s="354"/>
      <c r="K36" s="353"/>
      <c r="L36" s="48"/>
    </row>
    <row r="37" spans="1:12" ht="23.25" customHeight="1" x14ac:dyDescent="0.25">
      <c r="A37" s="141"/>
      <c r="B37" s="353"/>
      <c r="C37" s="353"/>
      <c r="D37" s="353"/>
      <c r="E37" s="353"/>
      <c r="F37" s="353"/>
      <c r="G37" s="353"/>
      <c r="H37" s="354"/>
      <c r="I37" s="355"/>
      <c r="J37" s="354"/>
      <c r="K37" s="353"/>
      <c r="L37" s="48"/>
    </row>
    <row r="38" spans="1:12" ht="23.25" customHeight="1" x14ac:dyDescent="0.25">
      <c r="A38" s="141"/>
      <c r="B38" s="353"/>
      <c r="C38" s="353"/>
      <c r="D38" s="353"/>
      <c r="E38" s="353"/>
      <c r="F38" s="353"/>
      <c r="G38" s="353"/>
      <c r="H38" s="354"/>
      <c r="I38" s="355"/>
      <c r="J38" s="354"/>
      <c r="K38" s="353"/>
      <c r="L38" s="48"/>
    </row>
    <row r="39" spans="1:12" ht="23.25" customHeight="1" x14ac:dyDescent="0.25">
      <c r="A39" s="141"/>
      <c r="B39" s="353"/>
      <c r="C39" s="353"/>
      <c r="D39" s="353"/>
      <c r="E39" s="353"/>
      <c r="F39" s="353"/>
      <c r="G39" s="353"/>
      <c r="H39" s="354"/>
      <c r="I39" s="355"/>
      <c r="J39" s="354"/>
      <c r="K39" s="353"/>
      <c r="L39" s="48"/>
    </row>
    <row r="40" spans="1:12" ht="23.25" customHeight="1" x14ac:dyDescent="0.25">
      <c r="A40" s="141"/>
      <c r="B40" s="353"/>
      <c r="C40" s="353"/>
      <c r="D40" s="353"/>
      <c r="E40" s="353"/>
      <c r="F40" s="353"/>
      <c r="G40" s="353"/>
      <c r="H40" s="354"/>
      <c r="I40" s="355"/>
      <c r="J40" s="354"/>
      <c r="K40" s="353"/>
      <c r="L40" s="48"/>
    </row>
    <row r="41" spans="1:12" ht="23.25" customHeight="1" x14ac:dyDescent="0.25">
      <c r="A41" s="56"/>
      <c r="B41" s="55"/>
      <c r="C41" s="55"/>
      <c r="D41" s="55"/>
      <c r="E41" s="55"/>
      <c r="F41" s="55"/>
      <c r="G41" s="55"/>
      <c r="H41" s="52"/>
      <c r="I41" s="53"/>
      <c r="J41" s="52"/>
      <c r="K41" s="55"/>
      <c r="L41" s="48"/>
    </row>
    <row r="42" spans="1:12" ht="23.25" customHeight="1" x14ac:dyDescent="0.25">
      <c r="A42" s="56"/>
      <c r="B42" s="55"/>
      <c r="C42" s="55"/>
      <c r="D42" s="55"/>
      <c r="E42" s="55"/>
      <c r="F42" s="55"/>
      <c r="G42" s="55"/>
      <c r="H42" s="52"/>
      <c r="I42" s="53"/>
      <c r="J42" s="52"/>
      <c r="K42" s="55"/>
      <c r="L42" s="48"/>
    </row>
    <row r="43" spans="1:12" ht="23.25" customHeight="1" x14ac:dyDescent="0.25">
      <c r="A43" s="56"/>
      <c r="B43" s="55"/>
      <c r="C43" s="55"/>
      <c r="D43" s="55"/>
      <c r="E43" s="55"/>
      <c r="F43" s="55"/>
      <c r="G43" s="55"/>
      <c r="H43" s="52"/>
      <c r="I43" s="53"/>
      <c r="J43" s="52"/>
      <c r="K43" s="55"/>
      <c r="L43" s="48"/>
    </row>
    <row r="44" spans="1:12" ht="23.25" customHeight="1" x14ac:dyDescent="0.25">
      <c r="A44" s="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48"/>
    </row>
    <row r="45" spans="1:12" ht="23.25" customHeight="1" x14ac:dyDescent="0.25">
      <c r="A45" s="56"/>
      <c r="B45" s="55"/>
      <c r="C45" s="55"/>
      <c r="D45" s="55"/>
      <c r="E45" s="55"/>
      <c r="F45" s="55"/>
      <c r="G45" s="55"/>
      <c r="H45" s="52"/>
      <c r="I45" s="53"/>
      <c r="J45" s="52"/>
      <c r="K45" s="55"/>
      <c r="L45" s="48"/>
    </row>
    <row r="46" spans="1:12" ht="23.25" customHeight="1" x14ac:dyDescent="0.25">
      <c r="A46" s="56"/>
      <c r="B46" s="55"/>
      <c r="C46" s="55"/>
      <c r="D46" s="55"/>
      <c r="E46" s="55"/>
      <c r="F46" s="55"/>
      <c r="G46" s="55"/>
      <c r="H46" s="52"/>
      <c r="I46" s="53"/>
      <c r="J46" s="52"/>
      <c r="K46" s="55"/>
      <c r="L46" s="48"/>
    </row>
    <row r="47" spans="1:12" ht="23.25" customHeight="1" x14ac:dyDescent="0.25">
      <c r="A47" s="38"/>
      <c r="B47" s="55"/>
      <c r="C47" s="55"/>
      <c r="D47" s="55"/>
      <c r="E47" s="55"/>
      <c r="F47" s="55"/>
      <c r="G47" s="55"/>
      <c r="H47" s="52"/>
      <c r="I47" s="53"/>
      <c r="J47" s="52"/>
      <c r="K47" s="55"/>
      <c r="L47" s="48"/>
    </row>
  </sheetData>
  <mergeCells count="10">
    <mergeCell ref="A8:H8"/>
    <mergeCell ref="A1:K1"/>
    <mergeCell ref="A2:K2"/>
    <mergeCell ref="A3:K3"/>
    <mergeCell ref="A5:K5"/>
    <mergeCell ref="A7:K7"/>
    <mergeCell ref="B34:K34"/>
    <mergeCell ref="B44:K44"/>
    <mergeCell ref="I19:I20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42"/>
  <sheetViews>
    <sheetView zoomScale="60" zoomScaleNormal="60" workbookViewId="0">
      <pane ySplit="10" topLeftCell="A11" activePane="bottomLeft" state="frozen"/>
      <selection activeCell="B26" sqref="B26"/>
      <selection pane="bottomLeft" activeCell="K39" sqref="K39"/>
    </sheetView>
  </sheetViews>
  <sheetFormatPr baseColWidth="10" defaultRowHeight="23.25" customHeight="1" x14ac:dyDescent="0.25"/>
  <cols>
    <col min="1" max="1" width="10.5703125" style="29" customWidth="1"/>
    <col min="2" max="2" width="31.5703125" style="26" customWidth="1"/>
    <col min="3" max="3" width="21.140625" style="26" customWidth="1"/>
    <col min="4" max="4" width="16.5703125" style="26" customWidth="1"/>
    <col min="5" max="5" width="41.42578125" style="26" hidden="1" customWidth="1"/>
    <col min="6" max="6" width="18.7109375" style="26" hidden="1" customWidth="1"/>
    <col min="7" max="7" width="27.28515625" style="26" hidden="1" customWidth="1"/>
    <col min="8" max="8" width="21.5703125" style="13" hidden="1" customWidth="1"/>
    <col min="9" max="9" width="35.85546875" style="18" customWidth="1"/>
    <col min="10" max="10" width="27.140625" style="13" customWidth="1"/>
    <col min="11" max="11" width="21.140625" style="26" customWidth="1"/>
    <col min="12" max="12" width="15" style="26" hidden="1" customWidth="1"/>
    <col min="13" max="13" width="42.7109375" style="27" customWidth="1"/>
    <col min="14" max="14" width="43.28515625" style="27" customWidth="1"/>
    <col min="15" max="15" width="32" style="27" customWidth="1"/>
    <col min="16" max="16" width="40.5703125" style="27" customWidth="1"/>
    <col min="17" max="17" width="34.42578125" style="27" customWidth="1"/>
    <col min="18" max="18" width="34" style="27" customWidth="1"/>
    <col min="19" max="19" width="44.28515625" style="27" customWidth="1"/>
    <col min="20" max="20" width="33.5703125" style="27" customWidth="1"/>
    <col min="21" max="109" width="11.42578125" style="27"/>
    <col min="110" max="16384" width="11.42578125" style="26"/>
  </cols>
  <sheetData>
    <row r="1" spans="1:109" ht="23.25" customHeight="1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4" t="s">
        <v>14</v>
      </c>
    </row>
    <row r="2" spans="1:109" ht="23.25" customHeight="1" x14ac:dyDescent="0.25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"/>
    </row>
    <row r="3" spans="1:109" ht="23.25" customHeight="1" x14ac:dyDescent="0.25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"/>
    </row>
    <row r="4" spans="1:109" ht="23.25" customHeight="1" x14ac:dyDescent="0.25">
      <c r="A4" s="7"/>
      <c r="B4" s="8"/>
      <c r="C4" s="9"/>
      <c r="D4" s="10"/>
      <c r="E4" s="11"/>
      <c r="F4" s="12"/>
      <c r="H4" s="26"/>
      <c r="I4" s="57"/>
      <c r="J4" s="8"/>
      <c r="K4" s="9"/>
      <c r="L4" s="21"/>
    </row>
    <row r="5" spans="1:109" ht="23.25" customHeight="1" x14ac:dyDescent="0.25">
      <c r="A5" s="152" t="s">
        <v>156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"/>
    </row>
    <row r="6" spans="1:109" ht="23.25" customHeight="1" x14ac:dyDescent="0.25">
      <c r="A6" s="27"/>
      <c r="H6" s="26"/>
      <c r="J6" s="26"/>
      <c r="K6" s="31" t="s">
        <v>26</v>
      </c>
      <c r="L6" s="26" t="s">
        <v>15</v>
      </c>
    </row>
    <row r="7" spans="1:109" ht="23.25" customHeight="1" x14ac:dyDescent="0.25">
      <c r="A7" s="153" t="s">
        <v>30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26" t="s">
        <v>16</v>
      </c>
    </row>
    <row r="8" spans="1:109" ht="23.25" customHeight="1" x14ac:dyDescent="0.25">
      <c r="A8" s="152" t="s">
        <v>17</v>
      </c>
      <c r="B8" s="152"/>
      <c r="C8" s="152"/>
      <c r="D8" s="152"/>
      <c r="E8" s="152"/>
      <c r="F8" s="152"/>
      <c r="G8" s="152"/>
      <c r="H8" s="152"/>
      <c r="I8" s="22"/>
      <c r="J8" s="23"/>
      <c r="K8" s="27"/>
      <c r="L8" s="26" t="s">
        <v>18</v>
      </c>
    </row>
    <row r="9" spans="1:109" ht="23.25" customHeight="1" x14ac:dyDescent="0.25">
      <c r="G9" s="16" t="s">
        <v>19</v>
      </c>
      <c r="H9" s="15">
        <f>10399521*0.16</f>
        <v>1663923.36</v>
      </c>
      <c r="I9" s="23"/>
      <c r="J9" s="30"/>
      <c r="K9" s="19"/>
      <c r="L9" s="26" t="s">
        <v>20</v>
      </c>
    </row>
    <row r="10" spans="1:109" s="17" customFormat="1" ht="30.75" customHeight="1" x14ac:dyDescent="0.25">
      <c r="A10" s="340" t="s">
        <v>21</v>
      </c>
      <c r="B10" s="340" t="s">
        <v>0</v>
      </c>
      <c r="C10" s="341" t="s">
        <v>1</v>
      </c>
      <c r="D10" s="342" t="s">
        <v>2</v>
      </c>
      <c r="E10" s="343" t="s">
        <v>3</v>
      </c>
      <c r="F10" s="340" t="s">
        <v>4</v>
      </c>
      <c r="G10" s="344" t="s">
        <v>5</v>
      </c>
      <c r="H10" s="345" t="s">
        <v>6</v>
      </c>
      <c r="I10" s="340" t="s">
        <v>7</v>
      </c>
      <c r="J10" s="346" t="s">
        <v>8</v>
      </c>
      <c r="K10" s="347" t="s">
        <v>9</v>
      </c>
      <c r="L10" s="5" t="s">
        <v>10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</row>
    <row r="11" spans="1:109" ht="36" customHeight="1" x14ac:dyDescent="0.25">
      <c r="A11" s="63">
        <v>198</v>
      </c>
      <c r="B11" s="80" t="s">
        <v>51</v>
      </c>
      <c r="C11" s="81">
        <v>80011017</v>
      </c>
      <c r="D11" s="91">
        <v>43432</v>
      </c>
      <c r="E11" s="81" t="s">
        <v>52</v>
      </c>
      <c r="F11" s="39">
        <v>12118</v>
      </c>
      <c r="G11" s="40">
        <v>346618</v>
      </c>
      <c r="H11" s="83">
        <v>948480</v>
      </c>
      <c r="I11" s="84">
        <v>113</v>
      </c>
      <c r="J11" s="85">
        <v>5940480</v>
      </c>
      <c r="K11" s="110">
        <v>43456</v>
      </c>
      <c r="L11" s="338">
        <v>43406</v>
      </c>
      <c r="M11" s="28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</row>
    <row r="12" spans="1:109" ht="26.25" customHeight="1" x14ac:dyDescent="0.25">
      <c r="A12" s="63">
        <f t="shared" ref="A12:A32" si="0">+A11+1</f>
        <v>199</v>
      </c>
      <c r="B12" s="86" t="s">
        <v>339</v>
      </c>
      <c r="C12" s="81">
        <v>1101692412</v>
      </c>
      <c r="D12" s="91">
        <v>43432</v>
      </c>
      <c r="E12" s="87" t="s">
        <v>340</v>
      </c>
      <c r="F12" s="39">
        <v>237418</v>
      </c>
      <c r="G12" s="87">
        <v>349418</v>
      </c>
      <c r="H12" s="137">
        <v>0</v>
      </c>
      <c r="I12" s="264" t="s">
        <v>128</v>
      </c>
      <c r="J12" s="90">
        <v>2787500</v>
      </c>
      <c r="K12" s="110">
        <v>43456</v>
      </c>
      <c r="L12" s="338">
        <v>43410</v>
      </c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</row>
    <row r="13" spans="1:109" ht="33" customHeight="1" x14ac:dyDescent="0.25">
      <c r="A13" s="63">
        <f t="shared" si="0"/>
        <v>200</v>
      </c>
      <c r="B13" s="86" t="s">
        <v>341</v>
      </c>
      <c r="C13" s="87">
        <v>52097319</v>
      </c>
      <c r="D13" s="91">
        <v>43433</v>
      </c>
      <c r="E13" s="87" t="s">
        <v>342</v>
      </c>
      <c r="F13" s="39">
        <v>14618</v>
      </c>
      <c r="G13" s="40">
        <v>349518</v>
      </c>
      <c r="H13" s="88">
        <v>0</v>
      </c>
      <c r="I13" s="89" t="s">
        <v>125</v>
      </c>
      <c r="J13" s="90">
        <v>4700000</v>
      </c>
      <c r="K13" s="110">
        <v>43456</v>
      </c>
      <c r="L13" s="338">
        <v>43410</v>
      </c>
      <c r="M13" s="25"/>
      <c r="N13" s="25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</row>
    <row r="14" spans="1:109" ht="23.25" customHeight="1" x14ac:dyDescent="0.25">
      <c r="A14" s="63">
        <f t="shared" si="0"/>
        <v>201</v>
      </c>
      <c r="B14" s="80" t="s">
        <v>122</v>
      </c>
      <c r="C14" s="81">
        <v>1096204766</v>
      </c>
      <c r="D14" s="82">
        <v>43434</v>
      </c>
      <c r="E14" s="81" t="s">
        <v>123</v>
      </c>
      <c r="F14" s="39">
        <v>211918</v>
      </c>
      <c r="G14" s="81">
        <v>300718</v>
      </c>
      <c r="H14" s="135"/>
      <c r="I14" s="136" t="s">
        <v>343</v>
      </c>
      <c r="J14" s="42">
        <v>6000000</v>
      </c>
      <c r="K14" s="110">
        <v>43456</v>
      </c>
      <c r="L14" s="338">
        <v>43412</v>
      </c>
      <c r="M14" s="25"/>
      <c r="N14" s="25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</row>
    <row r="15" spans="1:109" ht="23.25" customHeight="1" x14ac:dyDescent="0.25">
      <c r="A15" s="63">
        <f t="shared" si="0"/>
        <v>202</v>
      </c>
      <c r="B15" s="86" t="s">
        <v>344</v>
      </c>
      <c r="C15" s="81">
        <v>1069471146</v>
      </c>
      <c r="D15" s="82">
        <v>43434</v>
      </c>
      <c r="E15" s="87" t="s">
        <v>345</v>
      </c>
      <c r="F15" s="39">
        <v>237718</v>
      </c>
      <c r="G15" s="87">
        <v>351318</v>
      </c>
      <c r="H15" s="137"/>
      <c r="I15" s="136" t="s">
        <v>124</v>
      </c>
      <c r="J15" s="90">
        <v>3500000</v>
      </c>
      <c r="K15" s="110">
        <v>43456</v>
      </c>
      <c r="L15" s="338">
        <v>43418</v>
      </c>
    </row>
    <row r="16" spans="1:109" ht="23.25" customHeight="1" x14ac:dyDescent="0.25">
      <c r="A16" s="63">
        <f t="shared" si="0"/>
        <v>203</v>
      </c>
      <c r="B16" s="86" t="s">
        <v>70</v>
      </c>
      <c r="C16" s="87">
        <v>80229957</v>
      </c>
      <c r="D16" s="82">
        <v>43434</v>
      </c>
      <c r="E16" s="87" t="s">
        <v>71</v>
      </c>
      <c r="F16" s="39">
        <v>17418</v>
      </c>
      <c r="G16" s="40">
        <v>351418</v>
      </c>
      <c r="H16" s="88">
        <v>0</v>
      </c>
      <c r="I16" s="89" t="s">
        <v>125</v>
      </c>
      <c r="J16" s="90">
        <v>4666500</v>
      </c>
      <c r="K16" s="110">
        <v>43456</v>
      </c>
      <c r="L16" s="338">
        <v>43418</v>
      </c>
    </row>
    <row r="17" spans="1:12" ht="25.5" customHeight="1" x14ac:dyDescent="0.25">
      <c r="A17" s="63">
        <f t="shared" si="0"/>
        <v>204</v>
      </c>
      <c r="B17" s="87" t="s">
        <v>120</v>
      </c>
      <c r="C17" s="81">
        <v>80437758</v>
      </c>
      <c r="D17" s="82">
        <v>43438</v>
      </c>
      <c r="E17" s="87" t="s">
        <v>121</v>
      </c>
      <c r="F17" s="39">
        <v>18118</v>
      </c>
      <c r="G17" s="40">
        <v>353118</v>
      </c>
      <c r="H17" s="41">
        <v>0</v>
      </c>
      <c r="I17" s="43" t="s">
        <v>125</v>
      </c>
      <c r="J17" s="90">
        <v>2400000</v>
      </c>
      <c r="K17" s="110">
        <v>43456</v>
      </c>
      <c r="L17" s="338">
        <v>43418</v>
      </c>
    </row>
    <row r="18" spans="1:12" ht="23.25" customHeight="1" x14ac:dyDescent="0.25">
      <c r="A18" s="63">
        <f t="shared" si="0"/>
        <v>205</v>
      </c>
      <c r="B18" s="87" t="s">
        <v>77</v>
      </c>
      <c r="C18" s="87">
        <v>3229110</v>
      </c>
      <c r="D18" s="82">
        <v>43438</v>
      </c>
      <c r="E18" s="87" t="s">
        <v>78</v>
      </c>
      <c r="F18" s="87">
        <v>9918</v>
      </c>
      <c r="G18" s="92">
        <v>353218</v>
      </c>
      <c r="H18" s="42">
        <v>664680.68000000005</v>
      </c>
      <c r="I18" s="94">
        <v>285</v>
      </c>
      <c r="J18" s="90">
        <v>4163000</v>
      </c>
      <c r="K18" s="110">
        <v>43456</v>
      </c>
      <c r="L18" s="338">
        <v>43418</v>
      </c>
    </row>
    <row r="19" spans="1:12" ht="23.25" customHeight="1" x14ac:dyDescent="0.25">
      <c r="A19" s="63">
        <f t="shared" si="0"/>
        <v>206</v>
      </c>
      <c r="B19" s="86" t="s">
        <v>72</v>
      </c>
      <c r="C19" s="87">
        <v>24995543</v>
      </c>
      <c r="D19" s="91">
        <v>43446</v>
      </c>
      <c r="E19" s="87" t="s">
        <v>42</v>
      </c>
      <c r="F19" s="87">
        <v>151818</v>
      </c>
      <c r="G19" s="40">
        <v>362718</v>
      </c>
      <c r="H19" s="88">
        <v>0</v>
      </c>
      <c r="I19" s="89" t="s">
        <v>346</v>
      </c>
      <c r="J19" s="90">
        <v>5000000</v>
      </c>
      <c r="K19" s="110">
        <v>43456</v>
      </c>
      <c r="L19" s="338">
        <v>43423</v>
      </c>
    </row>
    <row r="20" spans="1:12" ht="23.25" customHeight="1" x14ac:dyDescent="0.25">
      <c r="A20" s="63">
        <f t="shared" si="0"/>
        <v>207</v>
      </c>
      <c r="B20" s="81" t="s">
        <v>75</v>
      </c>
      <c r="C20" s="81">
        <v>79790930</v>
      </c>
      <c r="D20" s="91">
        <v>43446</v>
      </c>
      <c r="E20" s="81" t="s">
        <v>29</v>
      </c>
      <c r="F20" s="81">
        <v>210818</v>
      </c>
      <c r="G20" s="40">
        <v>362818</v>
      </c>
      <c r="H20" s="42">
        <v>0</v>
      </c>
      <c r="I20" s="43" t="s">
        <v>125</v>
      </c>
      <c r="J20" s="42">
        <v>3302255.25</v>
      </c>
      <c r="K20" s="110">
        <v>43456</v>
      </c>
      <c r="L20" s="338">
        <v>43427</v>
      </c>
    </row>
    <row r="21" spans="1:12" ht="23.25" customHeight="1" x14ac:dyDescent="0.25">
      <c r="A21" s="63">
        <f t="shared" si="0"/>
        <v>208</v>
      </c>
      <c r="B21" s="87" t="s">
        <v>73</v>
      </c>
      <c r="C21" s="87">
        <v>80125197</v>
      </c>
      <c r="D21" s="91">
        <v>43446</v>
      </c>
      <c r="E21" s="87" t="s">
        <v>74</v>
      </c>
      <c r="F21" s="265">
        <v>14718</v>
      </c>
      <c r="G21" s="40">
        <v>363018</v>
      </c>
      <c r="H21" s="88">
        <v>0</v>
      </c>
      <c r="I21" s="89" t="s">
        <v>125</v>
      </c>
      <c r="J21" s="90">
        <v>2550000</v>
      </c>
      <c r="K21" s="110">
        <v>43456</v>
      </c>
      <c r="L21" s="338">
        <v>43427</v>
      </c>
    </row>
    <row r="22" spans="1:12" ht="23.25" customHeight="1" x14ac:dyDescent="0.25">
      <c r="A22" s="63">
        <f t="shared" si="0"/>
        <v>209</v>
      </c>
      <c r="B22" s="87" t="s">
        <v>126</v>
      </c>
      <c r="C22" s="87">
        <v>51804271</v>
      </c>
      <c r="D22" s="91">
        <v>43448</v>
      </c>
      <c r="E22" s="87" t="s">
        <v>76</v>
      </c>
      <c r="F22" s="87">
        <v>145218</v>
      </c>
      <c r="G22" s="92">
        <v>366718</v>
      </c>
      <c r="H22" s="88">
        <v>0</v>
      </c>
      <c r="I22" s="89" t="s">
        <v>125</v>
      </c>
      <c r="J22" s="90">
        <v>7000000</v>
      </c>
      <c r="K22" s="110">
        <v>43461</v>
      </c>
      <c r="L22" s="338">
        <v>43427</v>
      </c>
    </row>
    <row r="23" spans="1:12" ht="23.25" customHeight="1" x14ac:dyDescent="0.25">
      <c r="A23" s="63">
        <f t="shared" si="0"/>
        <v>210</v>
      </c>
      <c r="B23" s="81" t="s">
        <v>79</v>
      </c>
      <c r="C23" s="81">
        <v>52409970</v>
      </c>
      <c r="D23" s="91">
        <v>43452</v>
      </c>
      <c r="E23" s="81" t="s">
        <v>80</v>
      </c>
      <c r="F23" s="39">
        <v>15218</v>
      </c>
      <c r="G23" s="92">
        <v>370418</v>
      </c>
      <c r="H23" s="41">
        <v>0</v>
      </c>
      <c r="I23" s="43" t="s">
        <v>347</v>
      </c>
      <c r="J23" s="93">
        <v>4000000</v>
      </c>
      <c r="K23" s="110">
        <v>43461</v>
      </c>
      <c r="L23" s="338">
        <v>43427</v>
      </c>
    </row>
    <row r="24" spans="1:12" ht="23.25" customHeight="1" x14ac:dyDescent="0.25">
      <c r="A24" s="63">
        <f t="shared" si="0"/>
        <v>211</v>
      </c>
      <c r="B24" s="81" t="s">
        <v>81</v>
      </c>
      <c r="C24" s="81">
        <v>65756444</v>
      </c>
      <c r="D24" s="91">
        <v>43452</v>
      </c>
      <c r="E24" s="81" t="s">
        <v>82</v>
      </c>
      <c r="F24" s="39">
        <v>15318</v>
      </c>
      <c r="G24" s="92">
        <v>370518</v>
      </c>
      <c r="H24" s="41">
        <v>0</v>
      </c>
      <c r="I24" s="43" t="s">
        <v>347</v>
      </c>
      <c r="J24" s="90">
        <v>3200000</v>
      </c>
      <c r="K24" s="110">
        <v>43461</v>
      </c>
      <c r="L24" s="338">
        <v>43427</v>
      </c>
    </row>
    <row r="25" spans="1:12" ht="23.25" customHeight="1" x14ac:dyDescent="0.25">
      <c r="A25" s="63">
        <f t="shared" si="0"/>
        <v>212</v>
      </c>
      <c r="B25" s="81" t="s">
        <v>86</v>
      </c>
      <c r="C25" s="81">
        <v>1065658348</v>
      </c>
      <c r="D25" s="91">
        <v>43452</v>
      </c>
      <c r="E25" s="81" t="s">
        <v>87</v>
      </c>
      <c r="F25" s="39">
        <v>15418</v>
      </c>
      <c r="G25" s="92">
        <v>370618</v>
      </c>
      <c r="H25" s="41">
        <v>0</v>
      </c>
      <c r="I25" s="43" t="s">
        <v>347</v>
      </c>
      <c r="J25" s="42">
        <v>2720000</v>
      </c>
      <c r="K25" s="110">
        <v>43461</v>
      </c>
      <c r="L25" s="338">
        <v>43427</v>
      </c>
    </row>
    <row r="26" spans="1:12" ht="23.25" customHeight="1" x14ac:dyDescent="0.25">
      <c r="A26" s="63">
        <f t="shared" si="0"/>
        <v>213</v>
      </c>
      <c r="B26" s="81" t="s">
        <v>83</v>
      </c>
      <c r="C26" s="81">
        <v>79407041</v>
      </c>
      <c r="D26" s="91">
        <v>43452</v>
      </c>
      <c r="E26" s="81" t="s">
        <v>84</v>
      </c>
      <c r="F26" s="39">
        <v>16418</v>
      </c>
      <c r="G26" s="92">
        <v>370718</v>
      </c>
      <c r="H26" s="41">
        <v>0</v>
      </c>
      <c r="I26" s="43" t="s">
        <v>347</v>
      </c>
      <c r="J26" s="95">
        <v>8250000</v>
      </c>
      <c r="K26" s="110">
        <v>43461</v>
      </c>
      <c r="L26" s="338">
        <v>43432</v>
      </c>
    </row>
    <row r="27" spans="1:12" ht="23.25" customHeight="1" x14ac:dyDescent="0.25">
      <c r="A27" s="63">
        <f t="shared" si="0"/>
        <v>214</v>
      </c>
      <c r="B27" s="86" t="s">
        <v>127</v>
      </c>
      <c r="C27" s="81">
        <v>1030613156</v>
      </c>
      <c r="D27" s="91">
        <v>43452</v>
      </c>
      <c r="E27" s="87" t="s">
        <v>85</v>
      </c>
      <c r="F27" s="39">
        <v>239718</v>
      </c>
      <c r="G27" s="87">
        <v>370818</v>
      </c>
      <c r="H27" s="137"/>
      <c r="I27" s="43" t="s">
        <v>348</v>
      </c>
      <c r="J27" s="90">
        <v>3500000</v>
      </c>
      <c r="K27" s="110">
        <v>43461</v>
      </c>
      <c r="L27" s="338">
        <v>43432</v>
      </c>
    </row>
    <row r="28" spans="1:12" ht="23.25" customHeight="1" x14ac:dyDescent="0.25">
      <c r="A28" s="63">
        <f t="shared" si="0"/>
        <v>215</v>
      </c>
      <c r="B28" s="86" t="s">
        <v>129</v>
      </c>
      <c r="C28" s="87">
        <v>38211036</v>
      </c>
      <c r="D28" s="91">
        <v>43452</v>
      </c>
      <c r="E28" s="87" t="s">
        <v>53</v>
      </c>
      <c r="F28" s="39">
        <v>237818</v>
      </c>
      <c r="G28" s="87">
        <v>370918</v>
      </c>
      <c r="H28" s="137"/>
      <c r="I28" s="43" t="s">
        <v>348</v>
      </c>
      <c r="J28" s="90">
        <v>3500000</v>
      </c>
      <c r="K28" s="110">
        <v>43461</v>
      </c>
      <c r="L28" s="338">
        <v>43432</v>
      </c>
    </row>
    <row r="29" spans="1:12" ht="23.25" customHeight="1" x14ac:dyDescent="0.25">
      <c r="A29" s="63">
        <f t="shared" si="0"/>
        <v>216</v>
      </c>
      <c r="B29" s="86" t="s">
        <v>344</v>
      </c>
      <c r="C29" s="81">
        <v>1069471146</v>
      </c>
      <c r="D29" s="91">
        <v>43452</v>
      </c>
      <c r="E29" s="87" t="s">
        <v>345</v>
      </c>
      <c r="F29" s="39">
        <v>237718</v>
      </c>
      <c r="G29" s="87">
        <v>371018</v>
      </c>
      <c r="H29" s="137"/>
      <c r="I29" s="136" t="s">
        <v>343</v>
      </c>
      <c r="J29" s="90">
        <v>3500000</v>
      </c>
      <c r="K29" s="110">
        <v>43461</v>
      </c>
    </row>
    <row r="30" spans="1:12" ht="23.25" customHeight="1" x14ac:dyDescent="0.25">
      <c r="A30" s="63">
        <f t="shared" si="0"/>
        <v>217</v>
      </c>
      <c r="B30" s="81" t="s">
        <v>349</v>
      </c>
      <c r="C30" s="81">
        <v>65743542</v>
      </c>
      <c r="D30" s="91">
        <v>43453</v>
      </c>
      <c r="E30" s="81" t="s">
        <v>88</v>
      </c>
      <c r="F30" s="39">
        <v>296618</v>
      </c>
      <c r="G30" s="87">
        <v>375318</v>
      </c>
      <c r="H30" s="41">
        <v>0</v>
      </c>
      <c r="I30" s="43" t="s">
        <v>347</v>
      </c>
      <c r="J30" s="42">
        <v>3600000</v>
      </c>
      <c r="K30" s="110">
        <v>43461</v>
      </c>
    </row>
    <row r="31" spans="1:12" ht="23.25" customHeight="1" x14ac:dyDescent="0.25">
      <c r="A31" s="63">
        <f t="shared" si="0"/>
        <v>218</v>
      </c>
      <c r="B31" s="86" t="s">
        <v>339</v>
      </c>
      <c r="C31" s="81">
        <v>1101692412</v>
      </c>
      <c r="D31" s="91">
        <v>43453</v>
      </c>
      <c r="E31" s="87" t="s">
        <v>340</v>
      </c>
      <c r="F31" s="39">
        <v>237418</v>
      </c>
      <c r="G31" s="87">
        <v>375418</v>
      </c>
      <c r="H31" s="137">
        <v>0</v>
      </c>
      <c r="I31" s="264" t="s">
        <v>348</v>
      </c>
      <c r="J31" s="90">
        <v>2787500</v>
      </c>
      <c r="K31" s="110">
        <v>43461</v>
      </c>
    </row>
    <row r="32" spans="1:12" ht="23.25" customHeight="1" x14ac:dyDescent="0.25">
      <c r="A32" s="63">
        <f t="shared" si="0"/>
        <v>219</v>
      </c>
      <c r="B32" s="87" t="s">
        <v>120</v>
      </c>
      <c r="C32" s="81">
        <v>80437758</v>
      </c>
      <c r="D32" s="91">
        <v>43453</v>
      </c>
      <c r="E32" s="87" t="s">
        <v>121</v>
      </c>
      <c r="F32" s="39">
        <v>18118</v>
      </c>
      <c r="G32" s="87">
        <v>375518</v>
      </c>
      <c r="H32" s="41">
        <v>0</v>
      </c>
      <c r="I32" s="43" t="s">
        <v>347</v>
      </c>
      <c r="J32" s="90">
        <v>2400000</v>
      </c>
      <c r="K32" s="110">
        <v>43461</v>
      </c>
    </row>
    <row r="33" spans="1:109" s="374" customFormat="1" ht="23.25" customHeight="1" x14ac:dyDescent="0.25">
      <c r="A33" s="370"/>
      <c r="B33" s="371"/>
      <c r="C33" s="371"/>
      <c r="D33" s="371"/>
      <c r="E33" s="371"/>
      <c r="F33" s="371"/>
      <c r="G33" s="371"/>
      <c r="H33" s="372"/>
      <c r="I33" s="373"/>
      <c r="J33" s="372"/>
      <c r="K33" s="371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375"/>
      <c r="CM33" s="375"/>
      <c r="CN33" s="375"/>
      <c r="CO33" s="375"/>
      <c r="CP33" s="375"/>
      <c r="CQ33" s="375"/>
      <c r="CR33" s="375"/>
      <c r="CS33" s="375"/>
      <c r="CT33" s="375"/>
      <c r="CU33" s="375"/>
      <c r="CV33" s="375"/>
      <c r="CW33" s="375"/>
      <c r="CX33" s="375"/>
      <c r="CY33" s="375"/>
      <c r="CZ33" s="375"/>
      <c r="DA33" s="375"/>
      <c r="DB33" s="375"/>
      <c r="DC33" s="375"/>
      <c r="DD33" s="375"/>
      <c r="DE33" s="375"/>
    </row>
    <row r="34" spans="1:109" s="374" customFormat="1" ht="23.25" customHeight="1" x14ac:dyDescent="0.25">
      <c r="A34" s="370"/>
      <c r="B34" s="371"/>
      <c r="C34" s="371"/>
      <c r="D34" s="371"/>
      <c r="E34" s="371"/>
      <c r="F34" s="371"/>
      <c r="G34" s="371"/>
      <c r="H34" s="372"/>
      <c r="I34" s="373"/>
      <c r="J34" s="372"/>
      <c r="K34" s="371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  <c r="CA34" s="375"/>
      <c r="CB34" s="375"/>
      <c r="CC34" s="375"/>
      <c r="CD34" s="375"/>
      <c r="CE34" s="375"/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</row>
    <row r="35" spans="1:109" s="374" customFormat="1" ht="23.25" customHeight="1" x14ac:dyDescent="0.25">
      <c r="A35" s="370"/>
      <c r="B35" s="371"/>
      <c r="C35" s="371"/>
      <c r="D35" s="371"/>
      <c r="E35" s="371"/>
      <c r="F35" s="371"/>
      <c r="G35" s="371"/>
      <c r="H35" s="372"/>
      <c r="I35" s="373"/>
      <c r="J35" s="372"/>
      <c r="K35" s="371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</row>
    <row r="36" spans="1:109" s="374" customFormat="1" ht="23.25" customHeight="1" x14ac:dyDescent="0.25">
      <c r="A36" s="370"/>
      <c r="B36" s="371"/>
      <c r="C36" s="371"/>
      <c r="D36" s="371"/>
      <c r="E36" s="371"/>
      <c r="F36" s="371"/>
      <c r="G36" s="371"/>
      <c r="H36" s="372"/>
      <c r="I36" s="373"/>
      <c r="J36" s="372"/>
      <c r="K36" s="371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375"/>
      <c r="BP36" s="375"/>
      <c r="BQ36" s="375"/>
      <c r="BR36" s="375"/>
      <c r="BS36" s="375"/>
      <c r="BT36" s="375"/>
      <c r="BU36" s="375"/>
      <c r="BV36" s="375"/>
      <c r="BW36" s="375"/>
      <c r="BX36" s="375"/>
      <c r="BY36" s="375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5"/>
      <c r="DA36" s="375"/>
      <c r="DB36" s="375"/>
      <c r="DC36" s="375"/>
      <c r="DD36" s="375"/>
      <c r="DE36" s="375"/>
    </row>
    <row r="37" spans="1:109" s="374" customFormat="1" ht="23.25" customHeight="1" x14ac:dyDescent="0.25">
      <c r="A37" s="370"/>
      <c r="B37" s="371"/>
      <c r="C37" s="371"/>
      <c r="D37" s="371"/>
      <c r="E37" s="371"/>
      <c r="F37" s="371"/>
      <c r="G37" s="371"/>
      <c r="H37" s="372"/>
      <c r="I37" s="373"/>
      <c r="J37" s="372"/>
      <c r="K37" s="371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</row>
    <row r="38" spans="1:109" s="374" customFormat="1" ht="23.25" customHeight="1" x14ac:dyDescent="0.25">
      <c r="A38" s="370"/>
      <c r="B38" s="371"/>
      <c r="C38" s="371"/>
      <c r="D38" s="371"/>
      <c r="E38" s="371"/>
      <c r="F38" s="371"/>
      <c r="G38" s="371"/>
      <c r="H38" s="372"/>
      <c r="I38" s="373"/>
      <c r="J38" s="372"/>
      <c r="K38" s="371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375"/>
      <c r="BU38" s="375"/>
      <c r="BV38" s="375"/>
      <c r="BW38" s="375"/>
      <c r="BX38" s="375"/>
      <c r="BY38" s="375"/>
      <c r="BZ38" s="375"/>
      <c r="CA38" s="375"/>
      <c r="CB38" s="375"/>
      <c r="CC38" s="375"/>
      <c r="CD38" s="375"/>
      <c r="CE38" s="375"/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5"/>
      <c r="CU38" s="375"/>
      <c r="CV38" s="375"/>
      <c r="CW38" s="375"/>
      <c r="CX38" s="375"/>
      <c r="CY38" s="375"/>
      <c r="CZ38" s="375"/>
      <c r="DA38" s="375"/>
      <c r="DB38" s="375"/>
      <c r="DC38" s="375"/>
      <c r="DD38" s="375"/>
      <c r="DE38" s="375"/>
    </row>
    <row r="39" spans="1:109" s="374" customFormat="1" ht="23.25" customHeight="1" x14ac:dyDescent="0.25">
      <c r="A39" s="370"/>
      <c r="B39" s="371"/>
      <c r="C39" s="371"/>
      <c r="D39" s="371"/>
      <c r="E39" s="371"/>
      <c r="F39" s="371"/>
      <c r="G39" s="371"/>
      <c r="H39" s="372"/>
      <c r="I39" s="373"/>
      <c r="J39" s="372"/>
      <c r="K39" s="371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</row>
    <row r="40" spans="1:109" s="374" customFormat="1" ht="23.25" customHeight="1" x14ac:dyDescent="0.25">
      <c r="A40" s="370"/>
      <c r="B40" s="371"/>
      <c r="C40" s="371"/>
      <c r="D40" s="371"/>
      <c r="E40" s="371"/>
      <c r="F40" s="371"/>
      <c r="G40" s="371"/>
      <c r="H40" s="372"/>
      <c r="I40" s="373"/>
      <c r="J40" s="372"/>
      <c r="K40" s="371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</row>
    <row r="41" spans="1:109" ht="23.25" customHeight="1" x14ac:dyDescent="0.25">
      <c r="A41" s="56"/>
      <c r="B41" s="55"/>
      <c r="C41" s="55"/>
      <c r="D41" s="55"/>
      <c r="E41" s="55"/>
      <c r="F41" s="55"/>
      <c r="G41" s="55"/>
      <c r="H41" s="52"/>
      <c r="I41" s="53"/>
      <c r="J41" s="52"/>
      <c r="K41" s="55"/>
    </row>
    <row r="42" spans="1:109" ht="23.25" customHeight="1" x14ac:dyDescent="0.25">
      <c r="A42" s="56"/>
      <c r="B42" s="55"/>
      <c r="C42" s="55"/>
      <c r="D42" s="55"/>
      <c r="E42" s="55"/>
      <c r="F42" s="55"/>
      <c r="G42" s="55"/>
      <c r="H42" s="52"/>
      <c r="I42" s="53"/>
      <c r="J42" s="52"/>
      <c r="K42" s="55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284-5869-428E-9922-9C26C48F510A}">
  <dimension ref="A1:BT44"/>
  <sheetViews>
    <sheetView zoomScale="70" zoomScaleNormal="70" workbookViewId="0">
      <pane ySplit="9" topLeftCell="A10" activePane="bottomLeft" state="frozen"/>
      <selection activeCell="B26" sqref="B26"/>
      <selection pane="bottomLeft" activeCell="J31" sqref="J31"/>
    </sheetView>
  </sheetViews>
  <sheetFormatPr baseColWidth="10" defaultRowHeight="27" customHeight="1" x14ac:dyDescent="0.25"/>
  <cols>
    <col min="1" max="1" width="5.28515625" style="178" customWidth="1"/>
    <col min="2" max="2" width="25.7109375" style="48" customWidth="1"/>
    <col min="3" max="3" width="18.5703125" style="48" customWidth="1"/>
    <col min="4" max="4" width="13.42578125" style="48" customWidth="1"/>
    <col min="5" max="5" width="21" style="275" customWidth="1"/>
    <col min="6" max="6" width="24.5703125" style="273" customWidth="1"/>
    <col min="7" max="7" width="16.140625" style="48" customWidth="1"/>
    <col min="8" max="72" width="11.42578125" style="274"/>
    <col min="73" max="16384" width="11.42578125" style="48"/>
  </cols>
  <sheetData>
    <row r="1" spans="1:72" ht="27" customHeight="1" x14ac:dyDescent="0.25">
      <c r="A1" s="152" t="s">
        <v>11</v>
      </c>
      <c r="B1" s="152"/>
      <c r="C1" s="152"/>
      <c r="D1" s="152"/>
      <c r="E1" s="152"/>
      <c r="F1" s="152"/>
      <c r="G1" s="152"/>
    </row>
    <row r="2" spans="1:72" ht="27" customHeight="1" x14ac:dyDescent="0.25">
      <c r="A2" s="152" t="s">
        <v>12</v>
      </c>
      <c r="B2" s="152"/>
      <c r="C2" s="152"/>
      <c r="D2" s="152"/>
      <c r="E2" s="152"/>
      <c r="F2" s="152"/>
      <c r="G2" s="152"/>
    </row>
    <row r="3" spans="1:72" ht="27" customHeight="1" x14ac:dyDescent="0.25">
      <c r="A3" s="152" t="s">
        <v>13</v>
      </c>
      <c r="B3" s="152"/>
      <c r="C3" s="152"/>
      <c r="D3" s="152"/>
      <c r="E3" s="152"/>
      <c r="F3" s="152"/>
      <c r="G3" s="152"/>
    </row>
    <row r="4" spans="1:72" ht="27" customHeight="1" x14ac:dyDescent="0.25">
      <c r="A4" s="7"/>
      <c r="B4" s="8"/>
      <c r="C4" s="9"/>
      <c r="D4" s="10"/>
      <c r="E4" s="11"/>
      <c r="F4" s="12"/>
      <c r="G4" s="26"/>
    </row>
    <row r="5" spans="1:72" ht="27" customHeight="1" x14ac:dyDescent="0.25">
      <c r="A5" s="152" t="s">
        <v>156</v>
      </c>
      <c r="B5" s="152"/>
      <c r="C5" s="152"/>
      <c r="D5" s="152"/>
      <c r="E5" s="152"/>
      <c r="F5" s="152"/>
      <c r="G5" s="152"/>
    </row>
    <row r="6" spans="1:72" ht="27" customHeight="1" x14ac:dyDescent="0.25">
      <c r="A6" s="27"/>
      <c r="B6" s="26"/>
      <c r="C6" s="26"/>
      <c r="D6" s="26"/>
      <c r="E6" s="26"/>
      <c r="F6" s="26"/>
      <c r="G6" s="26"/>
    </row>
    <row r="7" spans="1:72" ht="27" customHeight="1" x14ac:dyDescent="0.25">
      <c r="A7" s="153" t="s">
        <v>30</v>
      </c>
      <c r="B7" s="153"/>
      <c r="C7" s="153"/>
      <c r="D7" s="153"/>
      <c r="E7" s="153"/>
      <c r="F7" s="153"/>
      <c r="G7" s="153"/>
    </row>
    <row r="8" spans="1:72" ht="27" customHeight="1" x14ac:dyDescent="0.25">
      <c r="E8" s="23"/>
      <c r="F8" s="23"/>
      <c r="G8" s="276"/>
    </row>
    <row r="9" spans="1:72" s="279" customFormat="1" ht="27" customHeight="1" x14ac:dyDescent="0.25">
      <c r="A9" s="277" t="s">
        <v>21</v>
      </c>
      <c r="B9" s="1" t="s">
        <v>0</v>
      </c>
      <c r="C9" s="2" t="s">
        <v>1</v>
      </c>
      <c r="D9" s="3" t="s">
        <v>2</v>
      </c>
      <c r="E9" s="1" t="s">
        <v>7</v>
      </c>
      <c r="F9" s="4" t="s">
        <v>8</v>
      </c>
      <c r="G9" s="278" t="s">
        <v>9</v>
      </c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</row>
    <row r="10" spans="1:72" s="274" customFormat="1" ht="27" customHeight="1" x14ac:dyDescent="0.25">
      <c r="A10" s="235">
        <v>76</v>
      </c>
      <c r="B10" s="287" t="s">
        <v>136</v>
      </c>
      <c r="C10" s="376" t="s">
        <v>137</v>
      </c>
      <c r="D10" s="148">
        <v>43413</v>
      </c>
      <c r="E10" s="150">
        <v>1028</v>
      </c>
      <c r="F10" s="377">
        <f>(1033685721*0.5)</f>
        <v>516842860.5</v>
      </c>
      <c r="G10" s="286">
        <v>43456</v>
      </c>
    </row>
    <row r="11" spans="1:72" s="274" customFormat="1" ht="27" customHeight="1" x14ac:dyDescent="0.25">
      <c r="A11" s="141">
        <f t="shared" ref="A11:A21" si="0">A10+1</f>
        <v>77</v>
      </c>
      <c r="B11" s="280" t="s">
        <v>351</v>
      </c>
      <c r="C11" s="281">
        <v>901904240</v>
      </c>
      <c r="D11" s="147">
        <v>43413</v>
      </c>
      <c r="E11" s="295" t="s">
        <v>352</v>
      </c>
      <c r="F11" s="100">
        <v>50898296.020000003</v>
      </c>
      <c r="G11" s="102">
        <v>43456</v>
      </c>
    </row>
    <row r="12" spans="1:72" s="274" customFormat="1" ht="27" customHeight="1" x14ac:dyDescent="0.25">
      <c r="A12" s="151">
        <f t="shared" si="0"/>
        <v>78</v>
      </c>
      <c r="B12" s="378" t="s">
        <v>132</v>
      </c>
      <c r="C12" s="283" t="s">
        <v>350</v>
      </c>
      <c r="D12" s="351">
        <v>43417</v>
      </c>
      <c r="E12" s="296" t="s">
        <v>353</v>
      </c>
      <c r="F12" s="292">
        <f>(271551766.01)-(271551766.01*0.2)</f>
        <v>217241412.808</v>
      </c>
      <c r="G12" s="102">
        <v>43456</v>
      </c>
    </row>
    <row r="13" spans="1:72" s="274" customFormat="1" ht="27" customHeight="1" x14ac:dyDescent="0.25">
      <c r="A13" s="151"/>
      <c r="B13" s="378"/>
      <c r="C13" s="283"/>
      <c r="D13" s="351"/>
      <c r="E13" s="296" t="s">
        <v>181</v>
      </c>
      <c r="F13" s="292">
        <f>(385060488.89)-(385060488.89*0.2)</f>
        <v>308048391.11199999</v>
      </c>
      <c r="G13" s="102">
        <v>43456</v>
      </c>
    </row>
    <row r="14" spans="1:72" s="274" customFormat="1" ht="27" customHeight="1" x14ac:dyDescent="0.25">
      <c r="A14" s="141">
        <f>A12+1</f>
        <v>79</v>
      </c>
      <c r="B14" s="280" t="s">
        <v>133</v>
      </c>
      <c r="C14" s="281">
        <v>900021482</v>
      </c>
      <c r="D14" s="147">
        <v>43417</v>
      </c>
      <c r="E14" s="291" t="s">
        <v>354</v>
      </c>
      <c r="F14" s="292">
        <f>13573224.24+19246836.21</f>
        <v>32820060.450000003</v>
      </c>
      <c r="G14" s="102">
        <v>43456</v>
      </c>
    </row>
    <row r="15" spans="1:72" s="274" customFormat="1" ht="32.25" customHeight="1" x14ac:dyDescent="0.25">
      <c r="A15" s="141">
        <f t="shared" si="0"/>
        <v>80</v>
      </c>
      <c r="B15" s="282" t="s">
        <v>142</v>
      </c>
      <c r="C15" s="281">
        <v>830008233</v>
      </c>
      <c r="D15" s="147">
        <v>43417</v>
      </c>
      <c r="E15" s="291">
        <v>1108</v>
      </c>
      <c r="F15" s="99">
        <v>231013506.50999999</v>
      </c>
      <c r="G15" s="102">
        <v>43456</v>
      </c>
    </row>
    <row r="16" spans="1:72" s="274" customFormat="1" ht="27" customHeight="1" x14ac:dyDescent="0.25">
      <c r="A16" s="141">
        <f t="shared" si="0"/>
        <v>81</v>
      </c>
      <c r="B16" s="280" t="s">
        <v>143</v>
      </c>
      <c r="C16" s="97">
        <v>900837734</v>
      </c>
      <c r="D16" s="147">
        <v>43417</v>
      </c>
      <c r="E16" s="149">
        <v>54</v>
      </c>
      <c r="F16" s="100">
        <v>11758587.48</v>
      </c>
      <c r="G16" s="102">
        <v>43456</v>
      </c>
    </row>
    <row r="17" spans="1:7" s="274" customFormat="1" ht="27" customHeight="1" x14ac:dyDescent="0.25">
      <c r="A17" s="141">
        <f t="shared" si="0"/>
        <v>82</v>
      </c>
      <c r="B17" s="103" t="s">
        <v>140</v>
      </c>
      <c r="C17" s="97">
        <v>830089986</v>
      </c>
      <c r="D17" s="147">
        <v>43403</v>
      </c>
      <c r="E17" s="149">
        <v>67</v>
      </c>
      <c r="F17" s="139">
        <f>199196544-(199196544*0.2)</f>
        <v>159357235.19999999</v>
      </c>
      <c r="G17" s="102">
        <v>43456</v>
      </c>
    </row>
    <row r="18" spans="1:7" s="274" customFormat="1" ht="27" customHeight="1" x14ac:dyDescent="0.25">
      <c r="A18" s="141">
        <f t="shared" si="0"/>
        <v>83</v>
      </c>
      <c r="B18" s="108" t="s">
        <v>141</v>
      </c>
      <c r="C18" s="97">
        <v>900436622</v>
      </c>
      <c r="D18" s="147">
        <v>43403</v>
      </c>
      <c r="E18" s="149">
        <v>96</v>
      </c>
      <c r="F18" s="99">
        <v>10333416.640000001</v>
      </c>
      <c r="G18" s="102">
        <v>43456</v>
      </c>
    </row>
    <row r="19" spans="1:7" s="274" customFormat="1" ht="27" customHeight="1" x14ac:dyDescent="0.25">
      <c r="A19" s="141">
        <f t="shared" si="0"/>
        <v>84</v>
      </c>
      <c r="B19" s="282" t="s">
        <v>139</v>
      </c>
      <c r="C19" s="97">
        <v>800196687</v>
      </c>
      <c r="D19" s="147">
        <v>43425</v>
      </c>
      <c r="E19" s="149" t="s">
        <v>355</v>
      </c>
      <c r="F19" s="100">
        <f>1645018352.25-(1645018352.25*0.2)</f>
        <v>1316014681.8</v>
      </c>
      <c r="G19" s="102">
        <v>43456</v>
      </c>
    </row>
    <row r="20" spans="1:7" s="274" customFormat="1" ht="27" customHeight="1" x14ac:dyDescent="0.25">
      <c r="A20" s="141">
        <f t="shared" si="0"/>
        <v>85</v>
      </c>
      <c r="B20" s="282" t="s">
        <v>138</v>
      </c>
      <c r="C20" s="281">
        <v>901177512</v>
      </c>
      <c r="D20" s="147">
        <v>43425</v>
      </c>
      <c r="E20" s="149">
        <v>4</v>
      </c>
      <c r="F20" s="100">
        <v>80507634.900000006</v>
      </c>
      <c r="G20" s="102">
        <v>43456</v>
      </c>
    </row>
    <row r="21" spans="1:7" s="274" customFormat="1" ht="27" customHeight="1" x14ac:dyDescent="0.25">
      <c r="A21" s="151">
        <f t="shared" si="0"/>
        <v>86</v>
      </c>
      <c r="B21" s="280" t="s">
        <v>134</v>
      </c>
      <c r="C21" s="283">
        <v>19362135</v>
      </c>
      <c r="D21" s="351">
        <v>43427</v>
      </c>
      <c r="E21" s="379">
        <v>616</v>
      </c>
      <c r="F21" s="285">
        <v>34598719.859999999</v>
      </c>
      <c r="G21" s="102">
        <v>43456</v>
      </c>
    </row>
    <row r="22" spans="1:7" s="274" customFormat="1" ht="27" customHeight="1" x14ac:dyDescent="0.25">
      <c r="A22" s="151"/>
      <c r="B22" s="280" t="s">
        <v>356</v>
      </c>
      <c r="C22" s="283"/>
      <c r="D22" s="351"/>
      <c r="E22" s="379"/>
      <c r="F22" s="99">
        <v>47955171.369999997</v>
      </c>
      <c r="G22" s="102">
        <v>43456</v>
      </c>
    </row>
    <row r="23" spans="1:7" s="274" customFormat="1" ht="27" customHeight="1" x14ac:dyDescent="0.25">
      <c r="A23" s="141">
        <f>A21+1</f>
        <v>87</v>
      </c>
      <c r="B23" s="280" t="s">
        <v>357</v>
      </c>
      <c r="C23" s="97">
        <v>860039333</v>
      </c>
      <c r="D23" s="147">
        <v>43427</v>
      </c>
      <c r="E23" s="291">
        <v>30434</v>
      </c>
      <c r="F23" s="285">
        <v>2179449357</v>
      </c>
      <c r="G23" s="102">
        <v>43456</v>
      </c>
    </row>
    <row r="24" spans="1:7" s="274" customFormat="1" ht="27" customHeight="1" x14ac:dyDescent="0.25">
      <c r="A24" s="141">
        <f t="shared" ref="A24:A42" si="1">A23+1</f>
        <v>88</v>
      </c>
      <c r="B24" s="113" t="s">
        <v>358</v>
      </c>
      <c r="C24" s="297">
        <v>800242107</v>
      </c>
      <c r="D24" s="298">
        <v>43431</v>
      </c>
      <c r="E24" s="47">
        <v>775</v>
      </c>
      <c r="F24" s="46">
        <v>106180907.90000001</v>
      </c>
      <c r="G24" s="102">
        <v>43456</v>
      </c>
    </row>
    <row r="25" spans="1:7" s="274" customFormat="1" ht="27" customHeight="1" x14ac:dyDescent="0.25">
      <c r="A25" s="141">
        <f t="shared" si="1"/>
        <v>89</v>
      </c>
      <c r="B25" s="96" t="s">
        <v>89</v>
      </c>
      <c r="C25" s="97">
        <v>890116722</v>
      </c>
      <c r="D25" s="298">
        <v>43431</v>
      </c>
      <c r="E25" s="149">
        <v>3155</v>
      </c>
      <c r="F25" s="99">
        <v>1674682.25</v>
      </c>
      <c r="G25" s="102">
        <v>43456</v>
      </c>
    </row>
    <row r="26" spans="1:7" s="274" customFormat="1" ht="27" customHeight="1" x14ac:dyDescent="0.25">
      <c r="A26" s="141">
        <f t="shared" si="1"/>
        <v>90</v>
      </c>
      <c r="B26" s="299" t="s">
        <v>132</v>
      </c>
      <c r="C26" s="300" t="s">
        <v>350</v>
      </c>
      <c r="D26" s="298">
        <v>43438</v>
      </c>
      <c r="E26" s="296" t="s">
        <v>359</v>
      </c>
      <c r="F26" s="292">
        <f>614366847.81-(614366847.81*0.2)</f>
        <v>491493478.24799997</v>
      </c>
      <c r="G26" s="102">
        <v>43456</v>
      </c>
    </row>
    <row r="27" spans="1:7" s="274" customFormat="1" ht="27" customHeight="1" x14ac:dyDescent="0.25">
      <c r="A27" s="141">
        <f t="shared" si="1"/>
        <v>91</v>
      </c>
      <c r="B27" s="280" t="s">
        <v>133</v>
      </c>
      <c r="C27" s="281">
        <v>900021482</v>
      </c>
      <c r="D27" s="298">
        <v>43438</v>
      </c>
      <c r="E27" s="291">
        <v>1361</v>
      </c>
      <c r="F27" s="292">
        <v>30708469.010000002</v>
      </c>
      <c r="G27" s="306">
        <v>43461</v>
      </c>
    </row>
    <row r="28" spans="1:7" s="274" customFormat="1" ht="27" customHeight="1" x14ac:dyDescent="0.25">
      <c r="A28" s="141">
        <f t="shared" si="1"/>
        <v>92</v>
      </c>
      <c r="B28" s="280" t="s">
        <v>136</v>
      </c>
      <c r="C28" s="290">
        <v>891001419</v>
      </c>
      <c r="D28" s="298">
        <v>43440</v>
      </c>
      <c r="E28" s="149">
        <v>1031</v>
      </c>
      <c r="F28" s="294">
        <f>(610940034*0.5)</f>
        <v>305470017</v>
      </c>
      <c r="G28" s="306">
        <v>43461</v>
      </c>
    </row>
    <row r="29" spans="1:7" s="274" customFormat="1" ht="27" customHeight="1" x14ac:dyDescent="0.25">
      <c r="A29" s="141">
        <f t="shared" si="1"/>
        <v>93</v>
      </c>
      <c r="B29" s="280" t="s">
        <v>351</v>
      </c>
      <c r="C29" s="281">
        <v>901094240</v>
      </c>
      <c r="D29" s="298">
        <v>43440</v>
      </c>
      <c r="E29" s="295">
        <v>30</v>
      </c>
      <c r="F29" s="100">
        <v>30082457.440000001</v>
      </c>
      <c r="G29" s="306">
        <v>43461</v>
      </c>
    </row>
    <row r="30" spans="1:7" s="274" customFormat="1" ht="27" customHeight="1" x14ac:dyDescent="0.25">
      <c r="A30" s="141">
        <f t="shared" si="1"/>
        <v>94</v>
      </c>
      <c r="B30" s="280" t="s">
        <v>240</v>
      </c>
      <c r="C30" s="97">
        <v>860020227</v>
      </c>
      <c r="D30" s="298">
        <v>43440</v>
      </c>
      <c r="E30" s="301">
        <v>58</v>
      </c>
      <c r="F30" s="302">
        <v>923128407.64999998</v>
      </c>
      <c r="G30" s="306">
        <v>43461</v>
      </c>
    </row>
    <row r="31" spans="1:7" s="274" customFormat="1" ht="27" customHeight="1" x14ac:dyDescent="0.25">
      <c r="A31" s="141">
        <f t="shared" si="1"/>
        <v>95</v>
      </c>
      <c r="B31" s="280" t="s">
        <v>360</v>
      </c>
      <c r="C31" s="281">
        <v>830073770</v>
      </c>
      <c r="D31" s="298">
        <v>43444</v>
      </c>
      <c r="E31" s="295">
        <v>1882</v>
      </c>
      <c r="F31" s="100">
        <v>54791070</v>
      </c>
      <c r="G31" s="306">
        <v>43461</v>
      </c>
    </row>
    <row r="32" spans="1:7" s="274" customFormat="1" ht="27" customHeight="1" x14ac:dyDescent="0.25">
      <c r="A32" s="141">
        <f t="shared" si="1"/>
        <v>96</v>
      </c>
      <c r="B32" s="280" t="s">
        <v>144</v>
      </c>
      <c r="C32" s="281">
        <v>901177905</v>
      </c>
      <c r="D32" s="298">
        <v>43444</v>
      </c>
      <c r="E32" s="149">
        <v>7</v>
      </c>
      <c r="F32" s="100">
        <f>968243822.32-(968243822.32*0.2)</f>
        <v>774595057.85600007</v>
      </c>
      <c r="G32" s="306">
        <v>43461</v>
      </c>
    </row>
    <row r="33" spans="1:7" s="274" customFormat="1" ht="27" customHeight="1" x14ac:dyDescent="0.25">
      <c r="A33" s="141">
        <f t="shared" si="1"/>
        <v>97</v>
      </c>
      <c r="B33" s="280" t="s">
        <v>146</v>
      </c>
      <c r="C33" s="281">
        <v>860090531</v>
      </c>
      <c r="D33" s="298">
        <v>43444</v>
      </c>
      <c r="E33" s="149">
        <v>1011</v>
      </c>
      <c r="F33" s="100">
        <v>47630046.899999999</v>
      </c>
      <c r="G33" s="306">
        <v>43461</v>
      </c>
    </row>
    <row r="34" spans="1:7" s="274" customFormat="1" ht="27" customHeight="1" x14ac:dyDescent="0.25">
      <c r="A34" s="141">
        <f t="shared" si="1"/>
        <v>98</v>
      </c>
      <c r="B34" s="103" t="s">
        <v>361</v>
      </c>
      <c r="C34" s="281">
        <v>901085020</v>
      </c>
      <c r="D34" s="298">
        <v>43447</v>
      </c>
      <c r="E34" s="291">
        <v>30</v>
      </c>
      <c r="F34" s="106">
        <v>780665690</v>
      </c>
      <c r="G34" s="306">
        <v>43461</v>
      </c>
    </row>
    <row r="35" spans="1:7" s="274" customFormat="1" ht="27" customHeight="1" x14ac:dyDescent="0.25">
      <c r="A35" s="141">
        <f t="shared" si="1"/>
        <v>99</v>
      </c>
      <c r="B35" s="280" t="s">
        <v>363</v>
      </c>
      <c r="C35" s="281">
        <v>901085110</v>
      </c>
      <c r="D35" s="298">
        <v>43447</v>
      </c>
      <c r="E35" s="291">
        <v>15</v>
      </c>
      <c r="F35" s="285">
        <v>149208629</v>
      </c>
      <c r="G35" s="306">
        <v>43461</v>
      </c>
    </row>
    <row r="36" spans="1:7" s="274" customFormat="1" ht="27" customHeight="1" x14ac:dyDescent="0.25">
      <c r="A36" s="141">
        <f t="shared" si="1"/>
        <v>100</v>
      </c>
      <c r="B36" s="280" t="s">
        <v>135</v>
      </c>
      <c r="C36" s="281">
        <v>900556186</v>
      </c>
      <c r="D36" s="147">
        <v>43452</v>
      </c>
      <c r="E36" s="295">
        <v>81</v>
      </c>
      <c r="F36" s="100">
        <v>294759684.19</v>
      </c>
      <c r="G36" s="306">
        <v>43461</v>
      </c>
    </row>
    <row r="37" spans="1:7" s="274" customFormat="1" ht="27" customHeight="1" x14ac:dyDescent="0.25">
      <c r="A37" s="141">
        <f t="shared" si="1"/>
        <v>101</v>
      </c>
      <c r="B37" s="280" t="s">
        <v>383</v>
      </c>
      <c r="C37" s="281">
        <v>800251181</v>
      </c>
      <c r="D37" s="147">
        <v>43453</v>
      </c>
      <c r="E37" s="295">
        <v>234</v>
      </c>
      <c r="F37" s="100">
        <v>119990400</v>
      </c>
      <c r="G37" s="306">
        <v>43461</v>
      </c>
    </row>
    <row r="38" spans="1:7" s="274" customFormat="1" ht="27" customHeight="1" x14ac:dyDescent="0.25">
      <c r="A38" s="141">
        <f t="shared" si="1"/>
        <v>102</v>
      </c>
      <c r="B38" s="280" t="s">
        <v>132</v>
      </c>
      <c r="C38" s="281" t="s">
        <v>350</v>
      </c>
      <c r="D38" s="147">
        <v>43455</v>
      </c>
      <c r="E38" s="149" t="s">
        <v>147</v>
      </c>
      <c r="F38" s="99">
        <v>2775138975.02</v>
      </c>
      <c r="G38" s="306">
        <v>43461</v>
      </c>
    </row>
    <row r="39" spans="1:7" s="274" customFormat="1" ht="27" customHeight="1" x14ac:dyDescent="0.25">
      <c r="A39" s="141">
        <f t="shared" si="1"/>
        <v>103</v>
      </c>
      <c r="B39" s="280" t="s">
        <v>132</v>
      </c>
      <c r="C39" s="281" t="s">
        <v>350</v>
      </c>
      <c r="D39" s="147">
        <v>43455</v>
      </c>
      <c r="E39" s="291">
        <v>6</v>
      </c>
      <c r="F39" s="303">
        <v>837746944.55999994</v>
      </c>
      <c r="G39" s="306">
        <v>43461</v>
      </c>
    </row>
    <row r="40" spans="1:7" s="274" customFormat="1" ht="27" customHeight="1" x14ac:dyDescent="0.25">
      <c r="A40" s="141">
        <f t="shared" si="1"/>
        <v>104</v>
      </c>
      <c r="B40" s="280" t="s">
        <v>133</v>
      </c>
      <c r="C40" s="281">
        <v>900021482</v>
      </c>
      <c r="D40" s="147">
        <v>43455</v>
      </c>
      <c r="E40" s="291">
        <v>1376</v>
      </c>
      <c r="F40" s="292">
        <v>52342354.939999998</v>
      </c>
      <c r="G40" s="306">
        <v>43461</v>
      </c>
    </row>
    <row r="41" spans="1:7" s="274" customFormat="1" ht="27" customHeight="1" x14ac:dyDescent="0.25">
      <c r="A41" s="144">
        <f t="shared" si="1"/>
        <v>105</v>
      </c>
      <c r="B41" s="280" t="s">
        <v>351</v>
      </c>
      <c r="C41" s="293">
        <v>901094240</v>
      </c>
      <c r="D41" s="147">
        <v>43455</v>
      </c>
      <c r="E41" s="295">
        <v>37</v>
      </c>
      <c r="F41" s="100">
        <v>85255689.590000004</v>
      </c>
      <c r="G41" s="306">
        <v>43461</v>
      </c>
    </row>
    <row r="42" spans="1:7" s="274" customFormat="1" ht="42.75" customHeight="1" x14ac:dyDescent="0.25">
      <c r="A42" s="144">
        <f t="shared" si="1"/>
        <v>106</v>
      </c>
      <c r="B42" s="280" t="s">
        <v>136</v>
      </c>
      <c r="C42" s="290">
        <v>891001419</v>
      </c>
      <c r="D42" s="147">
        <v>43455</v>
      </c>
      <c r="E42" s="149">
        <v>1032</v>
      </c>
      <c r="F42" s="100">
        <v>123857501.34</v>
      </c>
      <c r="G42" s="306">
        <v>43461</v>
      </c>
    </row>
    <row r="43" spans="1:7" s="274" customFormat="1" ht="27" customHeight="1" x14ac:dyDescent="0.25">
      <c r="A43" s="144">
        <v>107</v>
      </c>
      <c r="B43" s="280" t="s">
        <v>130</v>
      </c>
      <c r="C43" s="138">
        <v>830040332</v>
      </c>
      <c r="D43" s="147">
        <v>43456</v>
      </c>
      <c r="E43" s="289" t="s">
        <v>147</v>
      </c>
      <c r="F43" s="304">
        <v>3489839664.3000002</v>
      </c>
      <c r="G43" s="306">
        <v>43461</v>
      </c>
    </row>
    <row r="44" spans="1:7" s="274" customFormat="1" ht="27" customHeight="1" x14ac:dyDescent="0.25">
      <c r="A44" s="178"/>
      <c r="E44" s="308"/>
      <c r="F44" s="309"/>
    </row>
  </sheetData>
  <autoFilter ref="A9:G43" xr:uid="{00000000-0009-0000-0000-000003000000}"/>
  <mergeCells count="13">
    <mergeCell ref="E21:E22"/>
    <mergeCell ref="A1:G1"/>
    <mergeCell ref="A2:G2"/>
    <mergeCell ref="A3:G3"/>
    <mergeCell ref="A5:G5"/>
    <mergeCell ref="A7:G7"/>
    <mergeCell ref="A21:A22"/>
    <mergeCell ref="C21:C22"/>
    <mergeCell ref="D21:D22"/>
    <mergeCell ref="A12:A13"/>
    <mergeCell ref="B12:B13"/>
    <mergeCell ref="C12:C13"/>
    <mergeCell ref="D12:D13"/>
  </mergeCells>
  <conditionalFormatting sqref="F11">
    <cfRule type="iconSet" priority="17">
      <iconSet>
        <cfvo type="percent" val="0"/>
        <cfvo type="num" val="&quot;42954671.99&quot;"/>
        <cfvo type="num" val="50180738"/>
      </iconSet>
    </cfRule>
  </conditionalFormatting>
  <conditionalFormatting sqref="F16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F19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F20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F29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F31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F32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F33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F36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F37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F41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F42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40"/>
  <sheetViews>
    <sheetView zoomScale="70" zoomScaleNormal="70" workbookViewId="0">
      <pane ySplit="10" topLeftCell="A11" activePane="bottomLeft" state="frozen"/>
      <selection activeCell="I67" sqref="I67"/>
      <selection pane="bottomLeft" activeCell="B26" sqref="B26"/>
    </sheetView>
  </sheetViews>
  <sheetFormatPr baseColWidth="10" defaultRowHeight="23.25" customHeight="1" x14ac:dyDescent="0.25"/>
  <cols>
    <col min="1" max="1" width="9.140625" style="29" customWidth="1"/>
    <col min="2" max="2" width="37.7109375" style="26" customWidth="1"/>
    <col min="3" max="3" width="21.140625" style="26" customWidth="1"/>
    <col min="4" max="4" width="16.5703125" style="26" customWidth="1"/>
    <col min="5" max="5" width="41.42578125" style="26" hidden="1" customWidth="1"/>
    <col min="6" max="6" width="18.7109375" style="26" hidden="1" customWidth="1"/>
    <col min="7" max="7" width="27.28515625" style="26" hidden="1" customWidth="1"/>
    <col min="8" max="8" width="21.5703125" style="13" hidden="1" customWidth="1"/>
    <col min="9" max="9" width="31.42578125" style="18" customWidth="1"/>
    <col min="10" max="10" width="27.140625" style="13" customWidth="1"/>
    <col min="11" max="11" width="21.140625" style="26" customWidth="1"/>
    <col min="12" max="12" width="15" style="26" hidden="1" customWidth="1"/>
    <col min="13" max="13" width="42.7109375" style="27" customWidth="1"/>
    <col min="14" max="14" width="43.28515625" style="27" customWidth="1"/>
    <col min="15" max="15" width="32" style="27" customWidth="1"/>
    <col min="16" max="16" width="40.5703125" style="27" customWidth="1"/>
    <col min="17" max="17" width="34.42578125" style="27" customWidth="1"/>
    <col min="18" max="18" width="34" style="27" customWidth="1"/>
    <col min="19" max="19" width="44.28515625" style="27" customWidth="1"/>
    <col min="20" max="20" width="33.5703125" style="27" customWidth="1"/>
    <col min="21" max="109" width="11.42578125" style="27"/>
    <col min="110" max="16384" width="11.42578125" style="26"/>
  </cols>
  <sheetData>
    <row r="1" spans="1:109" ht="23.25" customHeight="1" x14ac:dyDescent="0.25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4" t="s">
        <v>14</v>
      </c>
    </row>
    <row r="2" spans="1:109" ht="23.25" customHeight="1" x14ac:dyDescent="0.25">
      <c r="A2" s="152" t="s">
        <v>12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21"/>
    </row>
    <row r="3" spans="1:109" ht="23.25" customHeight="1" x14ac:dyDescent="0.25">
      <c r="A3" s="152" t="s">
        <v>13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21"/>
    </row>
    <row r="4" spans="1:109" ht="23.25" customHeight="1" x14ac:dyDescent="0.25">
      <c r="A4" s="7"/>
      <c r="B4" s="8"/>
      <c r="C4" s="9"/>
      <c r="D4" s="10"/>
      <c r="E4" s="11"/>
      <c r="F4" s="12"/>
      <c r="H4" s="26"/>
      <c r="I4" s="57"/>
      <c r="J4" s="8"/>
      <c r="K4" s="9"/>
      <c r="L4" s="21"/>
    </row>
    <row r="5" spans="1:109" ht="23.25" customHeight="1" x14ac:dyDescent="0.25">
      <c r="A5" s="152" t="s">
        <v>156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21"/>
    </row>
    <row r="6" spans="1:109" ht="23.25" customHeight="1" x14ac:dyDescent="0.25">
      <c r="A6" s="27"/>
      <c r="H6" s="26"/>
      <c r="J6" s="26"/>
      <c r="K6" s="31" t="s">
        <v>26</v>
      </c>
      <c r="L6" s="26" t="s">
        <v>15</v>
      </c>
    </row>
    <row r="7" spans="1:109" ht="23.25" customHeight="1" x14ac:dyDescent="0.25">
      <c r="A7" s="153" t="s">
        <v>32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26" t="s">
        <v>16</v>
      </c>
    </row>
    <row r="8" spans="1:109" ht="23.25" customHeight="1" x14ac:dyDescent="0.25">
      <c r="A8" s="152" t="s">
        <v>17</v>
      </c>
      <c r="B8" s="152"/>
      <c r="C8" s="152"/>
      <c r="D8" s="152"/>
      <c r="E8" s="152"/>
      <c r="F8" s="152"/>
      <c r="G8" s="152"/>
      <c r="H8" s="152"/>
      <c r="I8" s="22"/>
      <c r="J8" s="23"/>
      <c r="K8" s="27"/>
      <c r="L8" s="26" t="s">
        <v>18</v>
      </c>
    </row>
    <row r="9" spans="1:109" ht="23.25" customHeight="1" x14ac:dyDescent="0.25">
      <c r="G9" s="16" t="s">
        <v>19</v>
      </c>
      <c r="H9" s="15">
        <f>10399521*0.16</f>
        <v>1663923.36</v>
      </c>
      <c r="I9" s="23"/>
      <c r="J9" s="30"/>
      <c r="K9" s="19"/>
      <c r="L9" s="26" t="s">
        <v>20</v>
      </c>
    </row>
    <row r="10" spans="1:109" s="17" customFormat="1" ht="30.75" customHeight="1" x14ac:dyDescent="0.25">
      <c r="A10" s="340" t="s">
        <v>21</v>
      </c>
      <c r="B10" s="340" t="s">
        <v>0</v>
      </c>
      <c r="C10" s="341" t="s">
        <v>1</v>
      </c>
      <c r="D10" s="342" t="s">
        <v>2</v>
      </c>
      <c r="E10" s="343" t="s">
        <v>3</v>
      </c>
      <c r="F10" s="340" t="s">
        <v>4</v>
      </c>
      <c r="G10" s="344" t="s">
        <v>5</v>
      </c>
      <c r="H10" s="345" t="s">
        <v>6</v>
      </c>
      <c r="I10" s="340" t="s">
        <v>7</v>
      </c>
      <c r="J10" s="346" t="s">
        <v>8</v>
      </c>
      <c r="K10" s="347" t="s">
        <v>9</v>
      </c>
      <c r="L10" s="5" t="s">
        <v>10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</row>
    <row r="11" spans="1:109" ht="23.25" customHeight="1" x14ac:dyDescent="0.25">
      <c r="A11" s="120">
        <v>176</v>
      </c>
      <c r="B11" s="103" t="s">
        <v>364</v>
      </c>
      <c r="C11" s="97">
        <v>901085020</v>
      </c>
      <c r="D11" s="104">
        <v>43403</v>
      </c>
      <c r="E11" s="103" t="s">
        <v>362</v>
      </c>
      <c r="F11" s="44">
        <v>161317</v>
      </c>
      <c r="G11" s="146">
        <v>294618</v>
      </c>
      <c r="H11" s="105">
        <v>0</v>
      </c>
      <c r="I11" s="47">
        <v>25</v>
      </c>
      <c r="J11" s="106">
        <f>2005990536.34-(2005990536.34)*0.5</f>
        <v>1002995268.17</v>
      </c>
      <c r="K11" s="102">
        <v>43456</v>
      </c>
      <c r="L11" s="333">
        <v>43413</v>
      </c>
    </row>
    <row r="12" spans="1:109" ht="23.25" customHeight="1" x14ac:dyDescent="0.25">
      <c r="A12" s="120">
        <f t="shared" ref="A12:A22" si="0">A11+1</f>
        <v>177</v>
      </c>
      <c r="B12" s="103" t="s">
        <v>40</v>
      </c>
      <c r="C12" s="97">
        <v>901085110</v>
      </c>
      <c r="D12" s="104">
        <v>43403</v>
      </c>
      <c r="E12" s="103" t="s">
        <v>41</v>
      </c>
      <c r="F12" s="44">
        <v>159317</v>
      </c>
      <c r="G12" s="146">
        <v>294718</v>
      </c>
      <c r="H12" s="105">
        <v>0</v>
      </c>
      <c r="I12" s="47">
        <v>13</v>
      </c>
      <c r="J12" s="106">
        <v>110396986.42</v>
      </c>
      <c r="K12" s="102">
        <v>43456</v>
      </c>
      <c r="L12" s="333">
        <v>43413</v>
      </c>
    </row>
    <row r="13" spans="1:109" ht="23.25" customHeight="1" x14ac:dyDescent="0.25">
      <c r="A13" s="120">
        <f t="shared" si="0"/>
        <v>178</v>
      </c>
      <c r="B13" s="103" t="s">
        <v>38</v>
      </c>
      <c r="C13" s="97">
        <v>901083477</v>
      </c>
      <c r="D13" s="104">
        <v>43404</v>
      </c>
      <c r="E13" s="97" t="s">
        <v>39</v>
      </c>
      <c r="F13" s="44">
        <v>148317</v>
      </c>
      <c r="G13" s="281">
        <v>296218</v>
      </c>
      <c r="H13" s="105">
        <v>32691696.739999998</v>
      </c>
      <c r="I13" s="149">
        <v>32</v>
      </c>
      <c r="J13" s="100">
        <f>204753258.5-(204753258.5*61.293579085238%)</f>
        <v>79252658.071700692</v>
      </c>
      <c r="K13" s="102">
        <v>43456</v>
      </c>
      <c r="L13" s="333">
        <v>43413</v>
      </c>
    </row>
    <row r="14" spans="1:109" ht="23.25" customHeight="1" x14ac:dyDescent="0.25">
      <c r="A14" s="120">
        <f t="shared" si="0"/>
        <v>179</v>
      </c>
      <c r="B14" s="128" t="s">
        <v>45</v>
      </c>
      <c r="C14" s="128">
        <v>860020227</v>
      </c>
      <c r="D14" s="75">
        <v>43410</v>
      </c>
      <c r="E14" s="128" t="s">
        <v>43</v>
      </c>
      <c r="F14" s="310">
        <v>367217</v>
      </c>
      <c r="G14" s="311" t="s">
        <v>365</v>
      </c>
      <c r="H14" s="128"/>
      <c r="I14" s="312" t="s">
        <v>366</v>
      </c>
      <c r="J14" s="313">
        <v>82158300</v>
      </c>
      <c r="K14" s="102">
        <v>43456</v>
      </c>
      <c r="L14" s="334">
        <v>43413</v>
      </c>
    </row>
    <row r="15" spans="1:109" ht="23.25" customHeight="1" x14ac:dyDescent="0.25">
      <c r="A15" s="151">
        <f t="shared" si="0"/>
        <v>180</v>
      </c>
      <c r="B15" s="96" t="s">
        <v>150</v>
      </c>
      <c r="C15" s="348">
        <v>900900730</v>
      </c>
      <c r="D15" s="157">
        <v>43417</v>
      </c>
      <c r="E15" s="349" t="s">
        <v>151</v>
      </c>
      <c r="F15" s="281">
        <v>3117</v>
      </c>
      <c r="G15" s="281">
        <v>303818</v>
      </c>
      <c r="H15" s="319">
        <v>0</v>
      </c>
      <c r="I15" s="158">
        <v>69</v>
      </c>
      <c r="J15" s="361">
        <f>11005141.75-5502570.88</f>
        <v>5502570.8700000001</v>
      </c>
      <c r="K15" s="102">
        <v>43456</v>
      </c>
      <c r="L15" s="335"/>
    </row>
    <row r="16" spans="1:109" ht="37.5" customHeight="1" x14ac:dyDescent="0.25">
      <c r="A16" s="151"/>
      <c r="B16" s="96" t="s">
        <v>152</v>
      </c>
      <c r="C16" s="348"/>
      <c r="D16" s="157"/>
      <c r="E16" s="349" t="s">
        <v>151</v>
      </c>
      <c r="F16" s="281">
        <v>304617</v>
      </c>
      <c r="G16" s="281">
        <v>304118</v>
      </c>
      <c r="H16" s="319">
        <v>0</v>
      </c>
      <c r="I16" s="158"/>
      <c r="J16" s="100">
        <f>3737586.09-1868793.05</f>
        <v>1868793.0399999998</v>
      </c>
      <c r="K16" s="102">
        <v>43456</v>
      </c>
      <c r="L16" s="336">
        <v>43413</v>
      </c>
    </row>
    <row r="17" spans="1:12" ht="23.25" customHeight="1" x14ac:dyDescent="0.25">
      <c r="A17" s="151">
        <f>A15+1</f>
        <v>181</v>
      </c>
      <c r="B17" s="96" t="s">
        <v>153</v>
      </c>
      <c r="C17" s="362">
        <v>900897675</v>
      </c>
      <c r="D17" s="157">
        <v>43417</v>
      </c>
      <c r="E17" s="352" t="s">
        <v>154</v>
      </c>
      <c r="F17" s="281">
        <v>3017</v>
      </c>
      <c r="G17" s="281">
        <v>304418</v>
      </c>
      <c r="H17" s="319">
        <v>0</v>
      </c>
      <c r="I17" s="158">
        <v>25</v>
      </c>
      <c r="J17" s="100">
        <v>703558.09</v>
      </c>
      <c r="K17" s="102">
        <v>43456</v>
      </c>
      <c r="L17" s="337"/>
    </row>
    <row r="18" spans="1:12" ht="48" customHeight="1" x14ac:dyDescent="0.25">
      <c r="A18" s="151"/>
      <c r="B18" s="96" t="s">
        <v>155</v>
      </c>
      <c r="C18" s="362"/>
      <c r="D18" s="157"/>
      <c r="E18" s="352"/>
      <c r="F18" s="59">
        <v>304817</v>
      </c>
      <c r="G18" s="281">
        <v>304618</v>
      </c>
      <c r="H18" s="319">
        <v>0</v>
      </c>
      <c r="I18" s="158"/>
      <c r="J18" s="100">
        <v>109612.36</v>
      </c>
      <c r="K18" s="102">
        <v>43456</v>
      </c>
      <c r="L18" s="336" t="s">
        <v>98</v>
      </c>
    </row>
    <row r="19" spans="1:12" ht="35.25" customHeight="1" x14ac:dyDescent="0.25">
      <c r="A19" s="120">
        <f>A17+1</f>
        <v>182</v>
      </c>
      <c r="B19" s="128" t="s">
        <v>367</v>
      </c>
      <c r="C19" s="350">
        <v>901111168</v>
      </c>
      <c r="D19" s="314">
        <v>43420</v>
      </c>
      <c r="E19" s="133" t="s">
        <v>368</v>
      </c>
      <c r="F19" s="51">
        <v>252517</v>
      </c>
      <c r="G19" s="133">
        <v>309318</v>
      </c>
      <c r="H19" s="315">
        <v>0</v>
      </c>
      <c r="I19" s="316" t="s">
        <v>369</v>
      </c>
      <c r="J19" s="126">
        <v>1541340417</v>
      </c>
      <c r="K19" s="102">
        <v>43456</v>
      </c>
      <c r="L19" s="336">
        <v>43413</v>
      </c>
    </row>
    <row r="20" spans="1:12" ht="23.25" customHeight="1" x14ac:dyDescent="0.25">
      <c r="A20" s="120">
        <f t="shared" si="0"/>
        <v>183</v>
      </c>
      <c r="B20" s="108" t="s">
        <v>56</v>
      </c>
      <c r="C20" s="97">
        <v>800242107</v>
      </c>
      <c r="D20" s="104">
        <v>43423</v>
      </c>
      <c r="E20" s="97" t="s">
        <v>54</v>
      </c>
      <c r="F20" s="97">
        <v>2517</v>
      </c>
      <c r="G20" s="146">
        <v>315418</v>
      </c>
      <c r="H20" s="105">
        <v>909632.85</v>
      </c>
      <c r="I20" s="149">
        <v>783</v>
      </c>
      <c r="J20" s="99">
        <f>227787227-(3822824594.62*2.48914061844608%)</f>
        <v>132631747.24336688</v>
      </c>
      <c r="K20" s="102">
        <v>43456</v>
      </c>
      <c r="L20" s="333">
        <v>43413</v>
      </c>
    </row>
    <row r="21" spans="1:12" ht="23.25" customHeight="1" x14ac:dyDescent="0.25">
      <c r="A21" s="120">
        <f t="shared" si="0"/>
        <v>184</v>
      </c>
      <c r="B21" s="97" t="s">
        <v>57</v>
      </c>
      <c r="C21" s="97">
        <v>901031126</v>
      </c>
      <c r="D21" s="104">
        <v>43423</v>
      </c>
      <c r="E21" s="97" t="s">
        <v>58</v>
      </c>
      <c r="F21" s="97">
        <v>2717</v>
      </c>
      <c r="G21" s="146">
        <v>315518</v>
      </c>
      <c r="H21" s="105">
        <v>1868982.19</v>
      </c>
      <c r="I21" s="50">
        <v>10</v>
      </c>
      <c r="J21" s="107">
        <v>13550120.85</v>
      </c>
      <c r="K21" s="102">
        <v>43456</v>
      </c>
      <c r="L21" s="121">
        <v>43413</v>
      </c>
    </row>
    <row r="22" spans="1:12" ht="23.25" customHeight="1" x14ac:dyDescent="0.25">
      <c r="A22" s="120">
        <f t="shared" si="0"/>
        <v>185</v>
      </c>
      <c r="B22" s="159" t="s">
        <v>370</v>
      </c>
      <c r="C22" s="160">
        <v>901130215</v>
      </c>
      <c r="D22" s="65">
        <v>43424</v>
      </c>
      <c r="E22" s="160" t="s">
        <v>371</v>
      </c>
      <c r="F22" s="36">
        <v>308517</v>
      </c>
      <c r="G22" s="160">
        <v>315718</v>
      </c>
      <c r="H22" s="317">
        <v>0</v>
      </c>
      <c r="I22" s="318" t="s">
        <v>145</v>
      </c>
      <c r="J22" s="189">
        <v>1777730000</v>
      </c>
      <c r="K22" s="102">
        <v>43456</v>
      </c>
      <c r="L22" s="333">
        <v>43413</v>
      </c>
    </row>
    <row r="23" spans="1:12" ht="23.25" customHeight="1" x14ac:dyDescent="0.25">
      <c r="A23" s="151">
        <f>A22+1</f>
        <v>186</v>
      </c>
      <c r="B23" s="96" t="s">
        <v>150</v>
      </c>
      <c r="C23" s="47">
        <v>900900730</v>
      </c>
      <c r="D23" s="351">
        <v>43431</v>
      </c>
      <c r="E23" s="349" t="s">
        <v>151</v>
      </c>
      <c r="F23" s="281">
        <v>3117</v>
      </c>
      <c r="G23" s="281">
        <v>339218</v>
      </c>
      <c r="H23" s="319">
        <v>0</v>
      </c>
      <c r="I23" s="158">
        <v>68</v>
      </c>
      <c r="J23" s="361">
        <f>568436488.68-284218244.32</f>
        <v>284218244.35999995</v>
      </c>
      <c r="K23" s="102">
        <v>43456</v>
      </c>
      <c r="L23" s="333">
        <v>43413</v>
      </c>
    </row>
    <row r="24" spans="1:12" ht="23.25" customHeight="1" x14ac:dyDescent="0.25">
      <c r="A24" s="151"/>
      <c r="B24" s="96" t="s">
        <v>152</v>
      </c>
      <c r="C24" s="47"/>
      <c r="D24" s="351"/>
      <c r="E24" s="349" t="s">
        <v>151</v>
      </c>
      <c r="F24" s="281">
        <v>304617</v>
      </c>
      <c r="G24" s="281">
        <v>339318</v>
      </c>
      <c r="H24" s="319">
        <v>0</v>
      </c>
      <c r="I24" s="158"/>
      <c r="J24" s="100">
        <f>150504636.83-75252318.39</f>
        <v>75252318.440000013</v>
      </c>
      <c r="K24" s="102">
        <v>43456</v>
      </c>
      <c r="L24" s="333">
        <v>43413</v>
      </c>
    </row>
    <row r="25" spans="1:12" ht="23.25" customHeight="1" x14ac:dyDescent="0.25">
      <c r="A25" s="151">
        <f>A23+1</f>
        <v>187</v>
      </c>
      <c r="B25" s="96" t="s">
        <v>153</v>
      </c>
      <c r="C25" s="59">
        <v>900897675</v>
      </c>
      <c r="D25" s="351">
        <v>43431</v>
      </c>
      <c r="E25" s="352" t="s">
        <v>154</v>
      </c>
      <c r="F25" s="281">
        <v>3017</v>
      </c>
      <c r="G25" s="281">
        <v>339718</v>
      </c>
      <c r="H25" s="319">
        <v>0</v>
      </c>
      <c r="I25" s="158">
        <v>26</v>
      </c>
      <c r="J25" s="100">
        <v>36340112.810000002</v>
      </c>
      <c r="K25" s="102">
        <v>43456</v>
      </c>
      <c r="L25" s="333">
        <v>43413</v>
      </c>
    </row>
    <row r="26" spans="1:12" ht="23.25" customHeight="1" x14ac:dyDescent="0.25">
      <c r="A26" s="151"/>
      <c r="B26" s="96" t="s">
        <v>155</v>
      </c>
      <c r="C26" s="59"/>
      <c r="D26" s="351"/>
      <c r="E26" s="352"/>
      <c r="F26" s="59">
        <v>304817</v>
      </c>
      <c r="G26" s="284" t="s">
        <v>372</v>
      </c>
      <c r="H26" s="319">
        <v>0</v>
      </c>
      <c r="I26" s="158"/>
      <c r="J26" s="100">
        <v>4413856.43</v>
      </c>
      <c r="K26" s="102">
        <v>43456</v>
      </c>
    </row>
    <row r="27" spans="1:12" ht="23.25" customHeight="1" x14ac:dyDescent="0.25">
      <c r="A27" s="141">
        <f>A25+1</f>
        <v>188</v>
      </c>
      <c r="B27" s="108" t="s">
        <v>56</v>
      </c>
      <c r="C27" s="97">
        <v>800242107</v>
      </c>
      <c r="D27" s="104">
        <v>43431</v>
      </c>
      <c r="E27" s="97" t="s">
        <v>54</v>
      </c>
      <c r="F27" s="97">
        <v>2517</v>
      </c>
      <c r="G27" s="146">
        <v>340018</v>
      </c>
      <c r="H27" s="105">
        <v>3294791.78</v>
      </c>
      <c r="I27" s="149">
        <v>784</v>
      </c>
      <c r="J27" s="99">
        <f>533270775.17-222767699.14</f>
        <v>310503076.03000003</v>
      </c>
      <c r="K27" s="102">
        <v>43456</v>
      </c>
    </row>
    <row r="28" spans="1:12" ht="23.25" customHeight="1" x14ac:dyDescent="0.25">
      <c r="A28" s="141">
        <f>A27+1</f>
        <v>189</v>
      </c>
      <c r="B28" s="97" t="s">
        <v>57</v>
      </c>
      <c r="C28" s="97">
        <v>901031126</v>
      </c>
      <c r="D28" s="104">
        <v>43431</v>
      </c>
      <c r="E28" s="97" t="s">
        <v>58</v>
      </c>
      <c r="F28" s="97">
        <v>2717</v>
      </c>
      <c r="G28" s="146">
        <v>340118</v>
      </c>
      <c r="H28" s="105">
        <v>4375458.59</v>
      </c>
      <c r="I28" s="50">
        <v>11</v>
      </c>
      <c r="J28" s="107">
        <v>31722074.77</v>
      </c>
      <c r="K28" s="102">
        <v>43456</v>
      </c>
    </row>
    <row r="29" spans="1:12" ht="23.25" customHeight="1" x14ac:dyDescent="0.25">
      <c r="A29" s="141">
        <f t="shared" ref="A29:A40" si="1">A28+1</f>
        <v>190</v>
      </c>
      <c r="B29" s="113" t="s">
        <v>148</v>
      </c>
      <c r="C29" s="297">
        <v>800242107</v>
      </c>
      <c r="D29" s="298">
        <v>43431</v>
      </c>
      <c r="E29" s="297" t="s">
        <v>54</v>
      </c>
      <c r="F29" s="113">
        <v>86817</v>
      </c>
      <c r="G29" s="297">
        <v>346218</v>
      </c>
      <c r="H29" s="45">
        <f>1745469.73+6284421+223616.31</f>
        <v>8253507.04</v>
      </c>
      <c r="I29" s="47" t="s">
        <v>373</v>
      </c>
      <c r="J29" s="46">
        <f>(229575202.81-0.04)+(39360321+1398665.31)-135167094.52</f>
        <v>135167094.56000003</v>
      </c>
      <c r="K29" s="102">
        <v>43456</v>
      </c>
    </row>
    <row r="30" spans="1:12" ht="23.25" customHeight="1" x14ac:dyDescent="0.25">
      <c r="A30" s="141">
        <f t="shared" si="1"/>
        <v>191</v>
      </c>
      <c r="B30" s="96" t="s">
        <v>149</v>
      </c>
      <c r="C30" s="97">
        <v>890116722</v>
      </c>
      <c r="D30" s="298">
        <v>43431</v>
      </c>
      <c r="E30" s="98" t="s">
        <v>55</v>
      </c>
      <c r="F30" s="44">
        <v>69517</v>
      </c>
      <c r="G30" s="146">
        <v>346418</v>
      </c>
      <c r="H30" s="45">
        <v>4863510.49</v>
      </c>
      <c r="I30" s="149">
        <v>3175</v>
      </c>
      <c r="J30" s="100">
        <v>30460934.109999999</v>
      </c>
      <c r="K30" s="102">
        <v>43456</v>
      </c>
    </row>
    <row r="31" spans="1:12" ht="23.25" customHeight="1" x14ac:dyDescent="0.25">
      <c r="A31" s="141">
        <f t="shared" si="1"/>
        <v>192</v>
      </c>
      <c r="B31" s="103" t="s">
        <v>38</v>
      </c>
      <c r="C31" s="97">
        <v>901083477</v>
      </c>
      <c r="D31" s="298">
        <v>43433</v>
      </c>
      <c r="E31" s="97" t="s">
        <v>39</v>
      </c>
      <c r="F31" s="44">
        <v>148317</v>
      </c>
      <c r="G31" s="97">
        <v>349618</v>
      </c>
      <c r="H31" s="105">
        <f>4185833.45+745803.89</f>
        <v>4931637.34</v>
      </c>
      <c r="I31" s="149" t="s">
        <v>374</v>
      </c>
      <c r="J31" s="100">
        <f>26216535.84+99662952.03-(26216535.84+99662952.03)*61.293579085238%</f>
        <v>48723444.420308977</v>
      </c>
      <c r="K31" s="102">
        <v>43456</v>
      </c>
    </row>
    <row r="32" spans="1:12" ht="23.25" customHeight="1" x14ac:dyDescent="0.25">
      <c r="A32" s="141">
        <f t="shared" si="1"/>
        <v>193</v>
      </c>
      <c r="B32" s="96" t="s">
        <v>375</v>
      </c>
      <c r="C32" s="97">
        <v>901011226</v>
      </c>
      <c r="D32" s="298">
        <v>43434</v>
      </c>
      <c r="E32" s="98" t="s">
        <v>376</v>
      </c>
      <c r="F32" s="113">
        <v>63117</v>
      </c>
      <c r="G32" s="146">
        <v>352218</v>
      </c>
      <c r="H32" s="46">
        <v>2685691</v>
      </c>
      <c r="I32" s="47">
        <v>39</v>
      </c>
      <c r="J32" s="363">
        <v>361720136.04000002</v>
      </c>
      <c r="K32" s="102">
        <v>43456</v>
      </c>
    </row>
    <row r="33" spans="1:11" ht="23.25" customHeight="1" x14ac:dyDescent="0.25">
      <c r="A33" s="141">
        <f t="shared" si="1"/>
        <v>194</v>
      </c>
      <c r="B33" s="116" t="s">
        <v>377</v>
      </c>
      <c r="C33" s="63">
        <v>900920788</v>
      </c>
      <c r="D33" s="194">
        <v>43437</v>
      </c>
      <c r="E33" s="67" t="s">
        <v>378</v>
      </c>
      <c r="F33" s="34">
        <v>286117</v>
      </c>
      <c r="G33" s="63">
        <v>352418</v>
      </c>
      <c r="H33" s="364">
        <v>211941000.81999999</v>
      </c>
      <c r="I33" s="37">
        <v>119</v>
      </c>
      <c r="J33" s="193">
        <v>1327419952.48</v>
      </c>
      <c r="K33" s="102">
        <v>43456</v>
      </c>
    </row>
    <row r="34" spans="1:11" ht="23.25" customHeight="1" x14ac:dyDescent="0.25">
      <c r="A34" s="141">
        <f t="shared" si="1"/>
        <v>195</v>
      </c>
      <c r="B34" s="159" t="s">
        <v>379</v>
      </c>
      <c r="C34" s="63">
        <v>860020227</v>
      </c>
      <c r="D34" s="194">
        <v>43438</v>
      </c>
      <c r="E34" s="160" t="s">
        <v>43</v>
      </c>
      <c r="F34" s="36">
        <v>370517</v>
      </c>
      <c r="G34" s="320">
        <v>352518</v>
      </c>
      <c r="H34" s="321">
        <v>359881</v>
      </c>
      <c r="I34" s="160" t="s">
        <v>380</v>
      </c>
      <c r="J34" s="189">
        <f>2253991.92+6.73+1.35</f>
        <v>2254000</v>
      </c>
      <c r="K34" s="102">
        <v>43456</v>
      </c>
    </row>
    <row r="35" spans="1:11" ht="23.25" customHeight="1" x14ac:dyDescent="0.25">
      <c r="A35" s="141">
        <f t="shared" si="1"/>
        <v>196</v>
      </c>
      <c r="B35" s="103" t="s">
        <v>364</v>
      </c>
      <c r="C35" s="97">
        <v>901085020</v>
      </c>
      <c r="D35" s="104">
        <v>43439</v>
      </c>
      <c r="E35" s="103" t="s">
        <v>362</v>
      </c>
      <c r="F35" s="44">
        <v>161317</v>
      </c>
      <c r="G35" s="146">
        <v>353918</v>
      </c>
      <c r="H35" s="105">
        <v>0</v>
      </c>
      <c r="I35" s="47">
        <v>33</v>
      </c>
      <c r="J35" s="106">
        <f>2669475187.25-1334737593.63</f>
        <v>1334737593.6199999</v>
      </c>
      <c r="K35" s="102">
        <v>43456</v>
      </c>
    </row>
    <row r="36" spans="1:11" ht="23.25" customHeight="1" x14ac:dyDescent="0.25">
      <c r="A36" s="141">
        <f t="shared" si="1"/>
        <v>197</v>
      </c>
      <c r="B36" s="103" t="s">
        <v>40</v>
      </c>
      <c r="C36" s="97">
        <v>901085110</v>
      </c>
      <c r="D36" s="104">
        <v>43439</v>
      </c>
      <c r="E36" s="103" t="s">
        <v>41</v>
      </c>
      <c r="F36" s="44">
        <v>159317</v>
      </c>
      <c r="G36" s="146">
        <v>354018</v>
      </c>
      <c r="H36" s="105">
        <v>0</v>
      </c>
      <c r="I36" s="47">
        <v>14</v>
      </c>
      <c r="J36" s="106">
        <v>127253114.84999999</v>
      </c>
      <c r="K36" s="102">
        <v>43456</v>
      </c>
    </row>
    <row r="37" spans="1:11" ht="23.25" customHeight="1" x14ac:dyDescent="0.25">
      <c r="A37" s="141">
        <f t="shared" si="1"/>
        <v>198</v>
      </c>
      <c r="B37" s="103" t="s">
        <v>38</v>
      </c>
      <c r="C37" s="97">
        <v>901083477</v>
      </c>
      <c r="D37" s="298">
        <v>43440</v>
      </c>
      <c r="E37" s="97" t="s">
        <v>39</v>
      </c>
      <c r="F37" s="44">
        <v>148317</v>
      </c>
      <c r="G37" s="97">
        <v>354618</v>
      </c>
      <c r="H37" s="105">
        <v>8218474.4699999997</v>
      </c>
      <c r="I37" s="149" t="s">
        <v>381</v>
      </c>
      <c r="J37" s="100">
        <f>(51473603.23-0.04)-31550013.69</f>
        <v>19923589.499999996</v>
      </c>
      <c r="K37" s="102">
        <v>43456</v>
      </c>
    </row>
    <row r="38" spans="1:11" ht="23.25" customHeight="1" x14ac:dyDescent="0.25">
      <c r="A38" s="141">
        <f t="shared" si="1"/>
        <v>199</v>
      </c>
      <c r="B38" s="103" t="s">
        <v>36</v>
      </c>
      <c r="C38" s="97">
        <v>79508558</v>
      </c>
      <c r="D38" s="298">
        <v>43440</v>
      </c>
      <c r="E38" s="97" t="s">
        <v>37</v>
      </c>
      <c r="F38" s="44">
        <v>146617</v>
      </c>
      <c r="G38" s="97">
        <v>354718</v>
      </c>
      <c r="H38" s="105">
        <v>4895545.66</v>
      </c>
      <c r="I38" s="149" t="s">
        <v>382</v>
      </c>
      <c r="J38" s="109">
        <f>30661575.45-0.02</f>
        <v>30661575.43</v>
      </c>
      <c r="K38" s="102">
        <v>43456</v>
      </c>
    </row>
    <row r="39" spans="1:11" ht="23.25" customHeight="1" x14ac:dyDescent="0.25">
      <c r="A39" s="141">
        <f t="shared" si="1"/>
        <v>200</v>
      </c>
      <c r="B39" s="103" t="s">
        <v>364</v>
      </c>
      <c r="C39" s="97">
        <v>901085020</v>
      </c>
      <c r="D39" s="104">
        <v>43447</v>
      </c>
      <c r="E39" s="103" t="s">
        <v>362</v>
      </c>
      <c r="F39" s="44">
        <v>161317</v>
      </c>
      <c r="G39" s="146">
        <v>364318</v>
      </c>
      <c r="H39" s="105">
        <v>0</v>
      </c>
      <c r="I39" s="47">
        <v>34</v>
      </c>
      <c r="J39" s="106">
        <f>328305866.56-164152933.25</f>
        <v>164152933.31</v>
      </c>
      <c r="K39" s="102">
        <v>43456</v>
      </c>
    </row>
    <row r="40" spans="1:11" ht="23.25" customHeight="1" x14ac:dyDescent="0.25">
      <c r="A40" s="141">
        <f t="shared" si="1"/>
        <v>201</v>
      </c>
      <c r="B40" s="103" t="s">
        <v>40</v>
      </c>
      <c r="C40" s="97">
        <v>901085110</v>
      </c>
      <c r="D40" s="104">
        <v>43447</v>
      </c>
      <c r="E40" s="103" t="s">
        <v>41</v>
      </c>
      <c r="F40" s="44">
        <v>159317</v>
      </c>
      <c r="G40" s="146">
        <v>364418</v>
      </c>
      <c r="H40" s="105">
        <v>0</v>
      </c>
      <c r="I40" s="47">
        <v>16</v>
      </c>
      <c r="J40" s="106">
        <v>37725726.439999998</v>
      </c>
      <c r="K40" s="102">
        <v>43456</v>
      </c>
    </row>
  </sheetData>
  <mergeCells count="23">
    <mergeCell ref="I23:I24"/>
    <mergeCell ref="D25:D26"/>
    <mergeCell ref="E25:E26"/>
    <mergeCell ref="I25:I26"/>
    <mergeCell ref="A15:A16"/>
    <mergeCell ref="A17:A18"/>
    <mergeCell ref="A23:A24"/>
    <mergeCell ref="A25:A26"/>
    <mergeCell ref="L14:L15"/>
    <mergeCell ref="C15:C16"/>
    <mergeCell ref="D15:D16"/>
    <mergeCell ref="I15:I16"/>
    <mergeCell ref="C17:C18"/>
    <mergeCell ref="A8:H8"/>
    <mergeCell ref="A1:K1"/>
    <mergeCell ref="A2:K2"/>
    <mergeCell ref="A3:K3"/>
    <mergeCell ref="A5:K5"/>
    <mergeCell ref="A7:K7"/>
    <mergeCell ref="D17:D18"/>
    <mergeCell ref="E17:E18"/>
    <mergeCell ref="I17:I18"/>
    <mergeCell ref="D23:D24"/>
  </mergeCells>
  <conditionalFormatting sqref="J13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1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7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31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4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7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8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gstos grles vig 2018</vt:lpstr>
      <vt:lpstr>gstos grles SSF vig 2018</vt:lpstr>
      <vt:lpstr>gstos personal vig 2018</vt:lpstr>
      <vt:lpstr>4 INVERSION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2019-01-02T15:53:50Z</dcterms:modified>
</cp:coreProperties>
</file>