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E:\DOCUMENTOS 2020\CUMPLIMIENTOS\MATRIZ CONTRACTUAL QUINCENAL\GESTION\2018\"/>
    </mc:Choice>
  </mc:AlternateContent>
  <xr:revisionPtr revIDLastSave="0" documentId="13_ncr:1_{B4CFFFB9-2935-4589-B42A-23CE78F64F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ENERAL" sheetId="4" r:id="rId1"/>
    <sheet name="FICHA PRESEN" sheetId="2" r:id="rId2"/>
    <sheet name="CONVENCIONES" sheetId="6" r:id="rId3"/>
    <sheet name="UNIDADES" sheetId="1" r:id="rId4"/>
  </sheets>
  <externalReferences>
    <externalReference r:id="rId5"/>
  </externalReferences>
  <definedNames>
    <definedName name="_xlnm._FilterDatabase" localSheetId="0" hidden="1">GENERAL!$A$1:$BA$46</definedName>
    <definedName name="_xlnm._FilterDatabase" localSheetId="3">UNIDADES!$E$1:$E$53</definedName>
    <definedName name="_xlnm.Print_Area" localSheetId="1">'FICHA PRESEN'!$A$1:$G$120</definedName>
    <definedName name="_xlnm.Print_Area" localSheetId="3">UNIDADES!$C$1:$C$53</definedName>
    <definedName name="_xlnm.Print_Titles" localSheetId="1">'FICHA PRESEN'!$1:$4</definedName>
  </definedNames>
  <calcPr calcId="181029"/>
  <pivotCaches>
    <pivotCache cacheId="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44" i="4" l="1"/>
  <c r="AY43" i="4"/>
  <c r="AY42" i="4"/>
  <c r="AY41" i="4"/>
  <c r="AY40" i="4"/>
  <c r="AZ40" i="4"/>
  <c r="AY39" i="4" l="1"/>
  <c r="AY38" i="4"/>
  <c r="AY37" i="4"/>
  <c r="AY36" i="4"/>
  <c r="AY35" i="4"/>
  <c r="AY30" i="4"/>
  <c r="AY22" i="4"/>
  <c r="AY20" i="4"/>
  <c r="AY18" i="4"/>
  <c r="AY12" i="4"/>
  <c r="AY11" i="4"/>
  <c r="AY9" i="4"/>
  <c r="AY8" i="4"/>
  <c r="E44" i="4" l="1"/>
  <c r="E45" i="4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S45" i="4"/>
  <c r="AZ45" i="4" s="1"/>
  <c r="AG45" i="4"/>
  <c r="X45" i="4"/>
  <c r="Q45" i="4"/>
  <c r="R45" i="4" s="1"/>
  <c r="T45" i="4" s="1"/>
  <c r="F45" i="4"/>
  <c r="D45" i="4"/>
  <c r="C45" i="4"/>
  <c r="AH45" i="4" l="1"/>
  <c r="C46" i="4"/>
  <c r="AS46" i="4"/>
  <c r="AZ46" i="4" s="1"/>
  <c r="AG46" i="4"/>
  <c r="Q46" i="4"/>
  <c r="R46" i="4" s="1"/>
  <c r="T46" i="4" s="1"/>
  <c r="F46" i="4"/>
  <c r="E46" i="4"/>
  <c r="D46" i="4"/>
  <c r="AS44" i="4"/>
  <c r="AZ44" i="4" s="1"/>
  <c r="AG44" i="4"/>
  <c r="Q44" i="4"/>
  <c r="R44" i="4" s="1"/>
  <c r="T44" i="4" s="1"/>
  <c r="F44" i="4"/>
  <c r="D44" i="4"/>
  <c r="C44" i="4"/>
  <c r="AS42" i="4" l="1"/>
  <c r="AZ42" i="4" s="1"/>
  <c r="AG42" i="4"/>
  <c r="Q42" i="4"/>
  <c r="R42" i="4" s="1"/>
  <c r="T42" i="4" s="1"/>
  <c r="F42" i="4"/>
  <c r="E42" i="4"/>
  <c r="D42" i="4"/>
  <c r="C42" i="4"/>
  <c r="AS41" i="4"/>
  <c r="AZ41" i="4" s="1"/>
  <c r="AG41" i="4"/>
  <c r="Q41" i="4"/>
  <c r="R41" i="4" s="1"/>
  <c r="T41" i="4" s="1"/>
  <c r="F41" i="4"/>
  <c r="E41" i="4"/>
  <c r="D41" i="4"/>
  <c r="C41" i="4"/>
  <c r="AS40" i="4"/>
  <c r="AG40" i="4"/>
  <c r="O40" i="4"/>
  <c r="Q40" i="4" s="1"/>
  <c r="R40" i="4" s="1"/>
  <c r="T40" i="4" s="1"/>
  <c r="F40" i="4"/>
  <c r="E40" i="4"/>
  <c r="D40" i="4"/>
  <c r="C40" i="4"/>
  <c r="AS43" i="4"/>
  <c r="AZ43" i="4" s="1"/>
  <c r="AG43" i="4"/>
  <c r="Q43" i="4"/>
  <c r="R43" i="4" s="1"/>
  <c r="T43" i="4" s="1"/>
  <c r="F43" i="4"/>
  <c r="E43" i="4"/>
  <c r="D43" i="4"/>
  <c r="C43" i="4"/>
  <c r="AG39" i="4" l="1"/>
  <c r="AS38" i="4" l="1"/>
  <c r="AZ38" i="4" s="1"/>
  <c r="AG38" i="4"/>
  <c r="T38" i="4"/>
  <c r="Q38" i="4"/>
  <c r="F38" i="4"/>
  <c r="E38" i="4"/>
  <c r="D38" i="4"/>
  <c r="C38" i="4"/>
  <c r="AS37" i="4"/>
  <c r="AZ37" i="4" s="1"/>
  <c r="AG37" i="4"/>
  <c r="Q37" i="4"/>
  <c r="R37" i="4" s="1"/>
  <c r="T37" i="4" s="1"/>
  <c r="F37" i="4"/>
  <c r="E37" i="4"/>
  <c r="D37" i="4"/>
  <c r="C37" i="4"/>
  <c r="AS36" i="4"/>
  <c r="AZ36" i="4" s="1"/>
  <c r="AG36" i="4"/>
  <c r="T36" i="4"/>
  <c r="Q36" i="4"/>
  <c r="F36" i="4"/>
  <c r="E36" i="4"/>
  <c r="D36" i="4"/>
  <c r="C36" i="4"/>
  <c r="AH38" i="4" l="1"/>
  <c r="AH36" i="4"/>
  <c r="AH37" i="4"/>
  <c r="AS35" i="4" l="1"/>
  <c r="AZ35" i="4" s="1"/>
  <c r="AG35" i="4"/>
  <c r="Q35" i="4"/>
  <c r="R35" i="4" s="1"/>
  <c r="T35" i="4" s="1"/>
  <c r="F35" i="4"/>
  <c r="E35" i="4"/>
  <c r="D35" i="4"/>
  <c r="C35" i="4"/>
  <c r="AS34" i="4"/>
  <c r="AZ34" i="4" s="1"/>
  <c r="AG34" i="4"/>
  <c r="T34" i="4"/>
  <c r="Q34" i="4"/>
  <c r="F34" i="4"/>
  <c r="E34" i="4"/>
  <c r="D34" i="4"/>
  <c r="C34" i="4"/>
  <c r="AS33" i="4"/>
  <c r="AZ33" i="4" s="1"/>
  <c r="AG33" i="4"/>
  <c r="T33" i="4"/>
  <c r="Q33" i="4"/>
  <c r="F33" i="4"/>
  <c r="E33" i="4"/>
  <c r="D33" i="4"/>
  <c r="C33" i="4"/>
  <c r="AS32" i="4"/>
  <c r="AH32" i="4" s="1"/>
  <c r="AG32" i="4"/>
  <c r="Q32" i="4"/>
  <c r="R32" i="4" s="1"/>
  <c r="T32" i="4" s="1"/>
  <c r="F32" i="4"/>
  <c r="E32" i="4"/>
  <c r="D32" i="4"/>
  <c r="C32" i="4"/>
  <c r="AZ29" i="4"/>
  <c r="AG29" i="4"/>
  <c r="Q29" i="4"/>
  <c r="R29" i="4" s="1"/>
  <c r="T29" i="4" s="1"/>
  <c r="F29" i="4"/>
  <c r="E29" i="4"/>
  <c r="D29" i="4"/>
  <c r="C29" i="4"/>
  <c r="E26" i="4"/>
  <c r="AS26" i="4"/>
  <c r="AZ26" i="4" s="1"/>
  <c r="AG26" i="4"/>
  <c r="Q26" i="4"/>
  <c r="R26" i="4" s="1"/>
  <c r="T26" i="4" s="1"/>
  <c r="F26" i="4"/>
  <c r="D26" i="4"/>
  <c r="C26" i="4"/>
  <c r="AS25" i="4"/>
  <c r="AZ25" i="4" s="1"/>
  <c r="AG25" i="4"/>
  <c r="Q25" i="4"/>
  <c r="R25" i="4" s="1"/>
  <c r="T25" i="4" s="1"/>
  <c r="F25" i="4"/>
  <c r="E25" i="4"/>
  <c r="D25" i="4"/>
  <c r="C25" i="4"/>
  <c r="AS28" i="4"/>
  <c r="AZ28" i="4" s="1"/>
  <c r="AG28" i="4"/>
  <c r="Q28" i="4"/>
  <c r="R28" i="4" s="1"/>
  <c r="T28" i="4" s="1"/>
  <c r="F28" i="4"/>
  <c r="E28" i="4"/>
  <c r="D28" i="4"/>
  <c r="C28" i="4"/>
  <c r="F24" i="4"/>
  <c r="AS27" i="4"/>
  <c r="AZ27" i="4" s="1"/>
  <c r="AG27" i="4"/>
  <c r="Q27" i="4"/>
  <c r="R27" i="4" s="1"/>
  <c r="T27" i="4" s="1"/>
  <c r="F27" i="4"/>
  <c r="E27" i="4"/>
  <c r="D27" i="4"/>
  <c r="C27" i="4"/>
  <c r="AS24" i="4"/>
  <c r="AZ24" i="4" s="1"/>
  <c r="AG24" i="4"/>
  <c r="Q24" i="4"/>
  <c r="R24" i="4" s="1"/>
  <c r="T24" i="4" s="1"/>
  <c r="E24" i="4"/>
  <c r="D24" i="4"/>
  <c r="C24" i="4"/>
  <c r="AS20" i="4"/>
  <c r="AZ20" i="4" s="1"/>
  <c r="AG20" i="4"/>
  <c r="Q20" i="4"/>
  <c r="R20" i="4" s="1"/>
  <c r="T20" i="4" s="1"/>
  <c r="F20" i="4"/>
  <c r="E20" i="4"/>
  <c r="D20" i="4"/>
  <c r="C20" i="4"/>
  <c r="P14" i="4"/>
  <c r="Q14" i="4" s="1"/>
  <c r="AS14" i="4"/>
  <c r="AZ14" i="4" s="1"/>
  <c r="AG14" i="4"/>
  <c r="T14" i="4"/>
  <c r="F14" i="4"/>
  <c r="E14" i="4"/>
  <c r="D14" i="4"/>
  <c r="C14" i="4"/>
  <c r="AZ32" i="4" l="1"/>
  <c r="AH35" i="4"/>
  <c r="AH34" i="4"/>
  <c r="AH33" i="4"/>
  <c r="AH29" i="4"/>
  <c r="AH28" i="4"/>
  <c r="AH26" i="4"/>
  <c r="AH25" i="4"/>
  <c r="AH14" i="4"/>
  <c r="AH27" i="4"/>
  <c r="AH24" i="4"/>
  <c r="AH20" i="4"/>
  <c r="AG16" i="4" l="1"/>
  <c r="AG9" i="4"/>
  <c r="AY3" i="4" l="1"/>
  <c r="AY2" i="4"/>
  <c r="T2" i="4"/>
  <c r="T4" i="4"/>
  <c r="T3" i="4"/>
  <c r="AG31" i="4" l="1"/>
  <c r="AG30" i="4"/>
  <c r="AG23" i="4"/>
  <c r="AS23" i="4" l="1"/>
  <c r="Q23" i="4"/>
  <c r="F23" i="4"/>
  <c r="E23" i="4"/>
  <c r="D23" i="4"/>
  <c r="C23" i="4"/>
  <c r="Q22" i="4"/>
  <c r="R22" i="4" s="1"/>
  <c r="T22" i="4" s="1"/>
  <c r="AS22" i="4"/>
  <c r="AG22" i="4"/>
  <c r="F22" i="4"/>
  <c r="E22" i="4"/>
  <c r="D22" i="4"/>
  <c r="C22" i="4"/>
  <c r="R23" i="4" l="1"/>
  <c r="T23" i="4" s="1"/>
  <c r="AZ22" i="4"/>
  <c r="AH22" i="4"/>
  <c r="AH23" i="4"/>
  <c r="AZ23" i="4"/>
  <c r="E21" i="4"/>
  <c r="AS21" i="4"/>
  <c r="AH21" i="4" s="1"/>
  <c r="AG21" i="4"/>
  <c r="Q21" i="4"/>
  <c r="R21" i="4" s="1"/>
  <c r="T21" i="4" s="1"/>
  <c r="F21" i="4"/>
  <c r="D21" i="4"/>
  <c r="C21" i="4"/>
  <c r="AZ21" i="4" l="1"/>
  <c r="AS39" i="4"/>
  <c r="AZ39" i="4" s="1"/>
  <c r="AS31" i="4"/>
  <c r="AS30" i="4"/>
  <c r="F39" i="4"/>
  <c r="E39" i="4"/>
  <c r="D39" i="4"/>
  <c r="C39" i="4"/>
  <c r="Q30" i="4"/>
  <c r="Q31" i="4"/>
  <c r="Q39" i="4"/>
  <c r="R39" i="4" s="1"/>
  <c r="T39" i="4" s="1"/>
  <c r="Q19" i="4"/>
  <c r="F31" i="4"/>
  <c r="E31" i="4"/>
  <c r="D31" i="4"/>
  <c r="C31" i="4"/>
  <c r="AS13" i="4"/>
  <c r="AG13" i="4"/>
  <c r="Q13" i="4"/>
  <c r="R13" i="4" s="1"/>
  <c r="T13" i="4" s="1"/>
  <c r="F13" i="4"/>
  <c r="E13" i="4"/>
  <c r="D13" i="4"/>
  <c r="C13" i="4"/>
  <c r="Q2" i="4"/>
  <c r="Q8" i="4"/>
  <c r="R31" i="4" l="1"/>
  <c r="T31" i="4" s="1"/>
  <c r="R30" i="4"/>
  <c r="T30" i="4" s="1"/>
  <c r="AH31" i="4"/>
  <c r="AZ31" i="4"/>
  <c r="AZ13" i="4"/>
  <c r="AH13" i="4"/>
  <c r="AH30" i="4"/>
  <c r="AZ30" i="4"/>
  <c r="AS2" i="4"/>
  <c r="AG2" i="4"/>
  <c r="F2" i="4"/>
  <c r="E2" i="4"/>
  <c r="D2" i="4"/>
  <c r="C2" i="4"/>
  <c r="AS4" i="4"/>
  <c r="AG4" i="4"/>
  <c r="Q4" i="4"/>
  <c r="F4" i="4"/>
  <c r="E4" i="4"/>
  <c r="D4" i="4"/>
  <c r="C4" i="4"/>
  <c r="AS5" i="4"/>
  <c r="AG5" i="4"/>
  <c r="T5" i="4"/>
  <c r="Q5" i="4"/>
  <c r="F5" i="4"/>
  <c r="E5" i="4"/>
  <c r="D5" i="4"/>
  <c r="C5" i="4"/>
  <c r="AS6" i="4"/>
  <c r="AG6" i="4"/>
  <c r="T6" i="4"/>
  <c r="Q6" i="4"/>
  <c r="F6" i="4"/>
  <c r="E6" i="4"/>
  <c r="D6" i="4"/>
  <c r="C6" i="4"/>
  <c r="C8" i="4"/>
  <c r="AS7" i="4"/>
  <c r="AG7" i="4"/>
  <c r="T7" i="4"/>
  <c r="Q7" i="4"/>
  <c r="F7" i="4"/>
  <c r="E7" i="4"/>
  <c r="D7" i="4"/>
  <c r="C7" i="4"/>
  <c r="AS3" i="4"/>
  <c r="AG3" i="4"/>
  <c r="Q3" i="4"/>
  <c r="F3" i="4"/>
  <c r="E3" i="4"/>
  <c r="D3" i="4"/>
  <c r="C3" i="4"/>
  <c r="E8" i="4"/>
  <c r="AG17" i="4"/>
  <c r="AS19" i="4"/>
  <c r="AH19" i="4" s="1"/>
  <c r="AG18" i="4"/>
  <c r="AG19" i="4"/>
  <c r="F19" i="4"/>
  <c r="F30" i="4"/>
  <c r="C30" i="4"/>
  <c r="E19" i="4"/>
  <c r="E30" i="4"/>
  <c r="D19" i="4"/>
  <c r="D30" i="4"/>
  <c r="C19" i="4"/>
  <c r="AG10" i="4"/>
  <c r="AG11" i="4"/>
  <c r="AS9" i="4"/>
  <c r="AH9" i="4" s="1"/>
  <c r="AS10" i="4"/>
  <c r="AH10" i="4" s="1"/>
  <c r="AS11" i="4"/>
  <c r="AS12" i="4"/>
  <c r="AS15" i="4"/>
  <c r="AS16" i="4"/>
  <c r="AS17" i="4"/>
  <c r="AS18" i="4"/>
  <c r="AS8" i="4"/>
  <c r="AH8" i="4" s="1"/>
  <c r="AG12" i="4"/>
  <c r="AG15" i="4"/>
  <c r="AG8" i="4"/>
  <c r="AZ19" i="4" l="1"/>
  <c r="AZ18" i="4"/>
  <c r="AH18" i="4"/>
  <c r="AZ17" i="4"/>
  <c r="AH17" i="4"/>
  <c r="AZ11" i="4"/>
  <c r="AH11" i="4"/>
  <c r="AZ3" i="4"/>
  <c r="AH3" i="4"/>
  <c r="AZ7" i="4"/>
  <c r="AH7" i="4"/>
  <c r="AZ4" i="4"/>
  <c r="AH4" i="4"/>
  <c r="AZ15" i="4"/>
  <c r="AH15" i="4"/>
  <c r="AZ2" i="4"/>
  <c r="AH2" i="4"/>
  <c r="AZ12" i="4"/>
  <c r="AH12" i="4"/>
  <c r="AZ16" i="4"/>
  <c r="AH16" i="4"/>
  <c r="AZ6" i="4"/>
  <c r="AH6" i="4"/>
  <c r="AZ5" i="4"/>
  <c r="AH5" i="4"/>
  <c r="AZ9" i="4"/>
  <c r="AZ10" i="4"/>
  <c r="F10" i="4" l="1"/>
  <c r="F11" i="4"/>
  <c r="F12" i="4"/>
  <c r="F15" i="4"/>
  <c r="F16" i="4"/>
  <c r="F17" i="4"/>
  <c r="F18" i="4"/>
  <c r="E10" i="4"/>
  <c r="E11" i="4"/>
  <c r="E12" i="4"/>
  <c r="E15" i="4"/>
  <c r="E16" i="4"/>
  <c r="E17" i="4"/>
  <c r="E18" i="4"/>
  <c r="E9" i="4"/>
  <c r="D9" i="4"/>
  <c r="D10" i="4"/>
  <c r="D11" i="4"/>
  <c r="D12" i="4"/>
  <c r="D15" i="4"/>
  <c r="D16" i="4"/>
  <c r="D17" i="4"/>
  <c r="D18" i="4"/>
  <c r="C10" i="4"/>
  <c r="C11" i="4"/>
  <c r="C12" i="4"/>
  <c r="C15" i="4"/>
  <c r="C16" i="4"/>
  <c r="C17" i="4"/>
  <c r="C18" i="4"/>
  <c r="C9" i="4"/>
  <c r="Q9" i="4"/>
  <c r="Q17" i="4"/>
  <c r="Q16" i="4"/>
  <c r="Q15" i="4"/>
  <c r="Q12" i="4"/>
  <c r="Q11" i="4"/>
  <c r="Q10" i="4"/>
  <c r="R15" i="4" l="1"/>
  <c r="T15" i="4" s="1"/>
  <c r="R9" i="4"/>
  <c r="T9" i="4" s="1"/>
  <c r="R19" i="4"/>
  <c r="T19" i="4" s="1"/>
  <c r="Q18" i="4"/>
  <c r="R18" i="4" s="1"/>
  <c r="T18" i="4" s="1"/>
  <c r="R17" i="4"/>
  <c r="T17" i="4" s="1"/>
  <c r="R16" i="4"/>
  <c r="T16" i="4" s="1"/>
  <c r="R12" i="4"/>
  <c r="T12" i="4" s="1"/>
  <c r="R11" i="4"/>
  <c r="T11" i="4" s="1"/>
  <c r="R10" i="4"/>
  <c r="T10" i="4" s="1"/>
  <c r="C8" i="2"/>
  <c r="F9" i="4" l="1"/>
  <c r="D8" i="4"/>
  <c r="F8" i="4"/>
  <c r="C7" i="2" s="1"/>
  <c r="C6" i="2"/>
  <c r="F119" i="2" l="1"/>
  <c r="E119" i="2"/>
  <c r="B17" i="2"/>
  <c r="C119" i="2" l="1"/>
  <c r="F120" i="2" l="1"/>
  <c r="AZ8" i="4"/>
  <c r="A2" i="2"/>
  <c r="C10" i="2"/>
  <c r="C9" i="2"/>
  <c r="C5" i="2"/>
  <c r="T8" i="4" l="1"/>
  <c r="C17" i="2" s="1"/>
  <c r="C18" i="2" s="1"/>
  <c r="B119" i="2"/>
  <c r="C120" i="2" s="1"/>
  <c r="A17" i="2"/>
  <c r="B18" i="2"/>
  <c r="C21" i="2" l="1"/>
  <c r="C22" i="2" s="1"/>
  <c r="B21" i="2"/>
  <c r="B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DIRAF - YULESBY HERNANDEZ CANTILLO</author>
  </authors>
  <commentList>
    <comment ref="M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UTILIZAR MAYUSCULAS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Ejemplo: 800141397-5
</t>
        </r>
      </text>
    </comment>
  </commentList>
</comments>
</file>

<file path=xl/sharedStrings.xml><?xml version="1.0" encoding="utf-8"?>
<sst xmlns="http://schemas.openxmlformats.org/spreadsheetml/2006/main" count="1625" uniqueCount="641">
  <si>
    <t>SIGLA</t>
  </si>
  <si>
    <t>UNIDAD</t>
  </si>
  <si>
    <t>DIRAF</t>
  </si>
  <si>
    <t>DEAMA</t>
  </si>
  <si>
    <t>DEARA</t>
  </si>
  <si>
    <t>DECAQ</t>
  </si>
  <si>
    <t>DECAS</t>
  </si>
  <si>
    <t>DECES</t>
  </si>
  <si>
    <t>DECHO</t>
  </si>
  <si>
    <t>DECUN</t>
  </si>
  <si>
    <t>DEGUA</t>
  </si>
  <si>
    <t>DEGUN</t>
  </si>
  <si>
    <t>DEGUV</t>
  </si>
  <si>
    <t>DEPUY</t>
  </si>
  <si>
    <t>DEQUI</t>
  </si>
  <si>
    <t>DESAP</t>
  </si>
  <si>
    <t>DESUC</t>
  </si>
  <si>
    <t>DEURA</t>
  </si>
  <si>
    <t>DEVIC</t>
  </si>
  <si>
    <t>DIASE</t>
  </si>
  <si>
    <t>DIBIE</t>
  </si>
  <si>
    <t>DICAR</t>
  </si>
  <si>
    <t>DIJIN</t>
  </si>
  <si>
    <t>DINAE</t>
  </si>
  <si>
    <t>DIPOL</t>
  </si>
  <si>
    <t>DIPRO</t>
  </si>
  <si>
    <t>DIRAN</t>
  </si>
  <si>
    <t>DITRA</t>
  </si>
  <si>
    <t>HOCEN</t>
  </si>
  <si>
    <t>ECSAN</t>
  </si>
  <si>
    <t>ESAVI</t>
  </si>
  <si>
    <t>ESBOL</t>
  </si>
  <si>
    <t>ESCAR</t>
  </si>
  <si>
    <t>ESJIM</t>
  </si>
  <si>
    <t>ESPOL</t>
  </si>
  <si>
    <t>ESSUM</t>
  </si>
  <si>
    <t>ESVEL</t>
  </si>
  <si>
    <t>MEBAR</t>
  </si>
  <si>
    <t>MEBOG</t>
  </si>
  <si>
    <t>MEBUC</t>
  </si>
  <si>
    <t>MECAL</t>
  </si>
  <si>
    <t>MECAR</t>
  </si>
  <si>
    <t>MECUC</t>
  </si>
  <si>
    <t>MEMAZ</t>
  </si>
  <si>
    <t>MEMOT</t>
  </si>
  <si>
    <t>MENEV</t>
  </si>
  <si>
    <t>MEPAS</t>
  </si>
  <si>
    <t>MEPER</t>
  </si>
  <si>
    <t>MEPOY</t>
  </si>
  <si>
    <t>MESAN</t>
  </si>
  <si>
    <t>METIB</t>
  </si>
  <si>
    <t>METUN</t>
  </si>
  <si>
    <t>MEVAL</t>
  </si>
  <si>
    <t>MEVIL</t>
  </si>
  <si>
    <t>DIRECCIÓN ADMINISTRATIVA Y FINANCIERA</t>
  </si>
  <si>
    <t>DEPARTAMENTO DE POLICÍA AMAZONAS</t>
  </si>
  <si>
    <t>DEPARTAMENTO DE POLICÍA ARAUCA</t>
  </si>
  <si>
    <t>DEPARTAMENTO DE POLICÍA CAQUETÁ</t>
  </si>
  <si>
    <t>DEPARTAMENTO DE POLICÍA CASANARE</t>
  </si>
  <si>
    <t>DEPARTAMENTO DE POLICÍA CESAR</t>
  </si>
  <si>
    <t>DEPARTAMENTO DE POLICÍA CHOCÓ</t>
  </si>
  <si>
    <t>DEPARTAMENTO DE POLICÍA CUNDINAMARCA</t>
  </si>
  <si>
    <t>DEPARTAMENTO DE POLICÍA GUAJIRA</t>
  </si>
  <si>
    <t>DEPARTAMENTO DE POLICÍA GUAINÍA</t>
  </si>
  <si>
    <t>DEPARTAMENTO DE POLICÍA GUAVIARE</t>
  </si>
  <si>
    <t>DEPARTAMENTO DE POLICÍA PUTUMAYO</t>
  </si>
  <si>
    <t>DEPARTAMENTO DE POLICÍA QUINDÍO</t>
  </si>
  <si>
    <t>DEPARTAMENTO DE POLICÍA SAN ANDRÉS Y PROVIDENCIA</t>
  </si>
  <si>
    <t>DEPARTAMENTO DE POLICÍA SUCRE</t>
  </si>
  <si>
    <t>DEPARTAMENTO DE POLICÍA URABÁ</t>
  </si>
  <si>
    <t>DEPARTAMENTO DE POLICÍA VICHADA</t>
  </si>
  <si>
    <t>DIRECCIÓN ANTISECUESTRO Y ANTIEXTORSIÓN</t>
  </si>
  <si>
    <t>DIRECCIÓN DE BIENESTAR SOCIAL</t>
  </si>
  <si>
    <t>DIRECCIÓN DE CARABINEROS Y SEGURIDAD RURAL</t>
  </si>
  <si>
    <t>DIRECCIÓN DE INVESTIGACIÓN CRIMINAL E INTERPOL</t>
  </si>
  <si>
    <t>DIRECCIÓN NACIONAL DE ESCUELAS</t>
  </si>
  <si>
    <t>DIRECCIÓN INTELIGENCIA POLICIAL</t>
  </si>
  <si>
    <t>DIRECCIÓN PROTECCIÓN Y SERVICIOS ESPECIALES</t>
  </si>
  <si>
    <t>DIRECCIÓN DE ANTINARCÓTICOS</t>
  </si>
  <si>
    <t xml:space="preserve">DIRECCIÓN DE TRÁNSITO Y TRANSPORTE </t>
  </si>
  <si>
    <t>HOSPITAL CENTRAL</t>
  </si>
  <si>
    <t>ESCUELA DE CADETES DE POLICÍA "GENERAL FRANCISCO DE PAULA SANTANDER"</t>
  </si>
  <si>
    <t>ESCUELA DE AVIACIÓN POLICIAL</t>
  </si>
  <si>
    <t>ESCUELA DE POLICÍA SIMÓN BOLÍVAR</t>
  </si>
  <si>
    <t>ESCUELA DE NACIONAL DE CARABINEROS</t>
  </si>
  <si>
    <t>ESCUELA DE SUBOFICIALES Y NIVEL EJECUTIVO GONZALO JIMÉNEZ DE QUESADA</t>
  </si>
  <si>
    <t>ESCUELA DE POSTGRADOS DE POLICÍA "MIGUEL ANTONIO LLERAS"</t>
  </si>
  <si>
    <t>ESCUELA DE PATRULLEROS PROVINCIA DE SUMAPAZ</t>
  </si>
  <si>
    <t>ESCUELA DE CARABINEROS PROVINCIA DE VÉLEZ</t>
  </si>
  <si>
    <t>POLICÍA METROPOLITANA DE BARRANQUILLA</t>
  </si>
  <si>
    <t>POLICÍA METROPOLITANA DE BOGOTÁ</t>
  </si>
  <si>
    <t>POLICÍA METROPOLITANA DE BUCARAMANGA</t>
  </si>
  <si>
    <t>POLICÍA METROPOLITANA DE SANTIAGO DE CALI</t>
  </si>
  <si>
    <t>POLICÍA METROPOLITANA DE CARTAGENA</t>
  </si>
  <si>
    <t>POLICÍA METROPOLITANA DE SAN JOSÉ DE CÚCUTA</t>
  </si>
  <si>
    <t>POLICÍA METROPOLITANA DE MANIZALES</t>
  </si>
  <si>
    <t xml:space="preserve">POLICÍA METROPOLITANA DE MONTERÍA </t>
  </si>
  <si>
    <t>POLICÍA METROPOLITANA DE NEIVA</t>
  </si>
  <si>
    <t>POLICÍA METROPOLITANA DE PASTO</t>
  </si>
  <si>
    <t>POLICÍA METROPOLITANA DE PEREIRA</t>
  </si>
  <si>
    <t>POLICÍA METROPOLITANA DE POPAYÁN</t>
  </si>
  <si>
    <t xml:space="preserve">POLICÍA METROPOLITANA DE SANTA MARTA </t>
  </si>
  <si>
    <t>POLICÍA METROPOLITANA DE IBAGUÉ</t>
  </si>
  <si>
    <t>POLICÍA METROPOLITANA DE TUNJA</t>
  </si>
  <si>
    <t>POLICÍA METROPOLITANA DEL VALLE DE ABURRA</t>
  </si>
  <si>
    <t>POLICÍA METROPOLITANA DE VILLAVICENCIO</t>
  </si>
  <si>
    <t>INFORME CONTRACTUAL VIGENCIA 2018</t>
  </si>
  <si>
    <t xml:space="preserve">NOMBRE DE LA UNIDAD   </t>
  </si>
  <si>
    <t>NIT</t>
  </si>
  <si>
    <t xml:space="preserve">JEFE DE CONTRATOS </t>
  </si>
  <si>
    <t>CELULAR</t>
  </si>
  <si>
    <t xml:space="preserve">CORREO ELECTRÓNICO </t>
  </si>
  <si>
    <t xml:space="preserve">UNIDAD </t>
  </si>
  <si>
    <t>VALOR TOTAL CONTRATADO</t>
  </si>
  <si>
    <t>VALOR TOTAL PROGRAMADO</t>
  </si>
  <si>
    <t xml:space="preserve">Total General </t>
  </si>
  <si>
    <t xml:space="preserve">% DE AVANCE </t>
  </si>
  <si>
    <t>% PDTE</t>
  </si>
  <si>
    <t>CONTRATADO</t>
  </si>
  <si>
    <t>DESIERTO</t>
  </si>
  <si>
    <t>VIGENCIAS FUTURAS</t>
  </si>
  <si>
    <t>NOMBRE</t>
  </si>
  <si>
    <t>ENERO</t>
  </si>
  <si>
    <t>INFRAESTRUCTURA</t>
  </si>
  <si>
    <t>ABRIL</t>
  </si>
  <si>
    <t>SELECCIÓN ABREVIADA</t>
  </si>
  <si>
    <t>AMP</t>
  </si>
  <si>
    <t>PROCESO DE SELECCIÓN</t>
  </si>
  <si>
    <t>DEVUELTO</t>
  </si>
  <si>
    <t>ECOS</t>
  </si>
  <si>
    <t>CONTRATO No</t>
  </si>
  <si>
    <t>META</t>
  </si>
  <si>
    <t>MES DE COMPRA PROYECTADA</t>
  </si>
  <si>
    <t>FECHA PROYECTADA CONTRATO</t>
  </si>
  <si>
    <t>NUMERO DE PROCESO</t>
  </si>
  <si>
    <t>MODALIDAD 
DE SELECCIÓN</t>
  </si>
  <si>
    <t xml:space="preserve">COMPONENTE </t>
  </si>
  <si>
    <t xml:space="preserve">VALOR ECO APROBADO </t>
  </si>
  <si>
    <t>ESTADO</t>
  </si>
  <si>
    <t>VIGENCIA FUTURA 2019</t>
  </si>
  <si>
    <t xml:space="preserve">VALOR TOTAL </t>
  </si>
  <si>
    <t>INVERSIÓN</t>
  </si>
  <si>
    <t xml:space="preserve">TOTAL GASTOS GENERALES </t>
  </si>
  <si>
    <t>REC 16</t>
  </si>
  <si>
    <t>REC 10</t>
  </si>
  <si>
    <t>GASTOS DE PERSONAL</t>
  </si>
  <si>
    <t>ÁREA</t>
  </si>
  <si>
    <t>No.</t>
  </si>
  <si>
    <t>VALOR TOTAL</t>
  </si>
  <si>
    <t>PROGRAMADO POR MODALIDAD</t>
  </si>
  <si>
    <t>Etiquetas de fila</t>
  </si>
  <si>
    <t>Total general</t>
  </si>
  <si>
    <t xml:space="preserve"> VALOR TOTAL </t>
  </si>
  <si>
    <t xml:space="preserve"> GASTOS GENERALES </t>
  </si>
  <si>
    <t xml:space="preserve"> INVERSIÓN</t>
  </si>
  <si>
    <t>(en blanco)</t>
  </si>
  <si>
    <t xml:space="preserve"> VALOR TOTAL CONTRATADO</t>
  </si>
  <si>
    <t>ESTUDIOS PREVIOS POR LLEGAR</t>
  </si>
  <si>
    <t>ESTUDIOS PREVIOS DEVUELTOS</t>
  </si>
  <si>
    <t>ESTUDIOS PREVIOS EN PROCESO DE SELECCIÓN</t>
  </si>
  <si>
    <t>EJECUTADO Y CONTRATADO</t>
  </si>
  <si>
    <t>MENOR CUANTÍA</t>
  </si>
  <si>
    <t>MÍNIMA CUANTÍA</t>
  </si>
  <si>
    <t>AP - CONTRATACIÓN DIRECTA</t>
  </si>
  <si>
    <t>LICITACIÓN</t>
  </si>
  <si>
    <t>ESTUDIOS PREVIOS EN REVISIÓN</t>
  </si>
  <si>
    <t>GASTOS GENERALES Y INVERSIÓN</t>
  </si>
  <si>
    <t xml:space="preserve"> INVERSIÓN PROG.</t>
  </si>
  <si>
    <t xml:space="preserve"> GASTOS GENERALES PROG.</t>
  </si>
  <si>
    <t xml:space="preserve">TOTAL CONTRATADO </t>
  </si>
  <si>
    <t>TOTAL PROGRAMADO</t>
  </si>
  <si>
    <t xml:space="preserve">NOMBRE DE LA UNIDAD </t>
  </si>
  <si>
    <t xml:space="preserve">REGIONAL </t>
  </si>
  <si>
    <t xml:space="preserve">NO SE REALIZA </t>
  </si>
  <si>
    <t xml:space="preserve">POR LLEGAR </t>
  </si>
  <si>
    <t xml:space="preserve">ADJUDICADO </t>
  </si>
  <si>
    <t>EN EJECUCIÓN</t>
  </si>
  <si>
    <t>EJECUTADO</t>
  </si>
  <si>
    <t>LIQUIDADO</t>
  </si>
  <si>
    <t>CD</t>
  </si>
  <si>
    <t>LI</t>
  </si>
  <si>
    <t>MIC</t>
  </si>
  <si>
    <t>SA MC</t>
  </si>
  <si>
    <t>SA ACMP;</t>
  </si>
  <si>
    <t>SA; SA MC BSDN</t>
  </si>
  <si>
    <t>DIPON</t>
  </si>
  <si>
    <t>No. Contratacion</t>
  </si>
  <si>
    <t>REGIÓN 9</t>
  </si>
  <si>
    <t>REGIÓN 1</t>
  </si>
  <si>
    <t>REGIÓN 5</t>
  </si>
  <si>
    <t>REGIÓN 2</t>
  </si>
  <si>
    <t>REGIÓNAL</t>
  </si>
  <si>
    <t>REGIÓN 7</t>
  </si>
  <si>
    <t>REGIÓN 8</t>
  </si>
  <si>
    <t>REGIÓN 6</t>
  </si>
  <si>
    <t>REGIÓN 3</t>
  </si>
  <si>
    <t>REGIÓN 4</t>
  </si>
  <si>
    <t>CONTRATISTA</t>
  </si>
  <si>
    <t xml:space="preserve">REPRESENTANTE LEGAL </t>
  </si>
  <si>
    <t>FORMA DE PAGO</t>
  </si>
  <si>
    <t>PAGOS REALIZADOS</t>
  </si>
  <si>
    <t>SALDOS</t>
  </si>
  <si>
    <t>830041314-4</t>
  </si>
  <si>
    <t>800140601-9</t>
  </si>
  <si>
    <t>800140602-6</t>
  </si>
  <si>
    <t>800140605-8</t>
  </si>
  <si>
    <t>800140606-5</t>
  </si>
  <si>
    <t>800140610-5</t>
  </si>
  <si>
    <t>800140607-2</t>
  </si>
  <si>
    <t>844000016-1</t>
  </si>
  <si>
    <t>800140624-8</t>
  </si>
  <si>
    <t>800140623-0</t>
  </si>
  <si>
    <t>800140951-1</t>
  </si>
  <si>
    <t>800140616-9</t>
  </si>
  <si>
    <t>843000047-4</t>
  </si>
  <si>
    <t>800140974-0</t>
  </si>
  <si>
    <t>800252722-2</t>
  </si>
  <si>
    <t>800140977-2</t>
  </si>
  <si>
    <t>800141060-9</t>
  </si>
  <si>
    <t>800141098-8</t>
  </si>
  <si>
    <t>800141203-5</t>
  </si>
  <si>
    <t>800140986-9</t>
  </si>
  <si>
    <t>800141053-7</t>
  </si>
  <si>
    <t>800141100-5</t>
  </si>
  <si>
    <t>800141101-2</t>
  </si>
  <si>
    <t>842000015-5</t>
  </si>
  <si>
    <t>800141103-7</t>
  </si>
  <si>
    <t>SECCIONAL SANIDAD META</t>
  </si>
  <si>
    <t>900407224-6</t>
  </si>
  <si>
    <t>SECCIONAL SANIDAD HUILA</t>
  </si>
  <si>
    <t>900419719-1</t>
  </si>
  <si>
    <t>SECCIONAL SANIDAD ANTIOQUIA</t>
  </si>
  <si>
    <t>811032059-3</t>
  </si>
  <si>
    <t>802016407-3</t>
  </si>
  <si>
    <t>900336524-5</t>
  </si>
  <si>
    <t>SECCIONAL SANIDAD CUNDINAMARCA</t>
  </si>
  <si>
    <t>900253272-7</t>
  </si>
  <si>
    <t>SECCIONAL SANIDAD RISARALDA</t>
  </si>
  <si>
    <t>900339410-8</t>
  </si>
  <si>
    <t>SECCIONAL SANIDAD SANTANDER</t>
  </si>
  <si>
    <t>804012688-5</t>
  </si>
  <si>
    <t>SECCIONAL SANIDAD VALLE DEL CAUCA</t>
  </si>
  <si>
    <t>805022186-6</t>
  </si>
  <si>
    <t>DIRECCIÓN GENERAL DE LA POLICÍA NACIONAL</t>
  </si>
  <si>
    <t>JEFE DE CONTRATOS  GRADO. NOMBRES Y APELLIDOS</t>
  </si>
  <si>
    <t>CUANDO SE ENCUENTRA FIRMADO PERO NO TIENE FECHA DE INICIO</t>
  </si>
  <si>
    <t xml:space="preserve">CUANDO NO SE DESARROLLO EL PROCESO </t>
  </si>
  <si>
    <t xml:space="preserve">YA NO SE REALIZA EL PROCESOS POR ALGUNA CIRCUNSTANCIA </t>
  </si>
  <si>
    <t xml:space="preserve">CUANDO EL PROCESO AUN NO HA LLEGADO </t>
  </si>
  <si>
    <t>CUANDO EL CONTRATO FUE LIQUIDADO.</t>
  </si>
  <si>
    <t>ESTADOS</t>
  </si>
  <si>
    <t>MODALIDADES</t>
  </si>
  <si>
    <t>TOTAL RECURSO 10 Y 16</t>
  </si>
  <si>
    <t>PAGOS PARCIALES</t>
  </si>
  <si>
    <t xml:space="preserve">PORCENTAJE DE AVANCE </t>
  </si>
  <si>
    <t xml:space="preserve">FORMAS DE PAGO </t>
  </si>
  <si>
    <t>FORMAS DE PAGO</t>
  </si>
  <si>
    <r>
      <t xml:space="preserve">FECHA INICIO FORMATO 
</t>
    </r>
    <r>
      <rPr>
        <b/>
        <sz val="11"/>
        <color rgb="FFFF0000"/>
        <rFont val="Calibri"/>
        <family val="2"/>
        <scheme val="minor"/>
      </rPr>
      <t>(DD/MM/AAAA)</t>
    </r>
  </si>
  <si>
    <r>
      <t>FECHA DE TERMINO</t>
    </r>
    <r>
      <rPr>
        <b/>
        <sz val="11"/>
        <color rgb="FFFF0000"/>
        <rFont val="Calibri"/>
        <family val="2"/>
        <scheme val="minor"/>
      </rPr>
      <t xml:space="preserve"> 
(DD/MM/AAAA)</t>
    </r>
  </si>
  <si>
    <t xml:space="preserve">No. De Contratación de acuerdo a manual </t>
  </si>
  <si>
    <t>CORREO ELECTRÓNICO</t>
  </si>
  <si>
    <t>AHORRO DE LA CONTRATACIÓN</t>
  </si>
  <si>
    <t>NO. CONSTANCIA SECOP</t>
  </si>
  <si>
    <t>FECHA DE SUSCRIPCIÓN CONTRATO 
(DD/MM/AAAA)</t>
  </si>
  <si>
    <t>CONFIGURACIÓN JURÍDICA (UNIÓN TEMPORAL O CONSORCIO</t>
  </si>
  <si>
    <t xml:space="preserve">CONTRA ENTREGA </t>
  </si>
  <si>
    <t>DESCRIPCIÓN</t>
  </si>
  <si>
    <t xml:space="preserve">CUANDO SE DEVOLVIÓ EL ESTUDIO PREVIO PARA CORRECCIÓN </t>
  </si>
  <si>
    <t xml:space="preserve">CUANDO SE ENCUENTRA EL ESTUDIO PREVIO EN REVISIÓN CONTRATOS </t>
  </si>
  <si>
    <t>CUANDO SE FIRMO RESOLUCIÓN DE ADJUDICACIÓN</t>
  </si>
  <si>
    <t xml:space="preserve">CUANDO ESTA VIGENTE DURANTE EL PLAZO DE INICIO Y TERMINO </t>
  </si>
  <si>
    <t>CUANDO SE CULMINO SU PLAZO DE EJECUCIÓN</t>
  </si>
  <si>
    <t>QUE TIPO DE PROCESO SE INCLUYEN</t>
  </si>
  <si>
    <t>ADICIÓN</t>
  </si>
  <si>
    <t>CONTRATACIÓN DIRECTA</t>
  </si>
  <si>
    <t xml:space="preserve"> GASTOS GENERALES CONTRATADO</t>
  </si>
  <si>
    <t xml:space="preserve"> INVERSIÓN CONTRATADO</t>
  </si>
  <si>
    <t>GASTOS GENERALES CONTRATADO</t>
  </si>
  <si>
    <t>INVERSIÓN CONTRATADO</t>
  </si>
  <si>
    <t>830067597-4</t>
  </si>
  <si>
    <t>DEAMA-ARSAN</t>
  </si>
  <si>
    <t>DEARA-ARSAN</t>
  </si>
  <si>
    <t>DEBOL-ARSAN</t>
  </si>
  <si>
    <t>DEBOY-ARSAN</t>
  </si>
  <si>
    <t>DECAL-ARSAN</t>
  </si>
  <si>
    <t>DECAQ-ARSAN</t>
  </si>
  <si>
    <t>DECAS-ARSAN</t>
  </si>
  <si>
    <t>DECAU-ARSAN</t>
  </si>
  <si>
    <t>DECES-ARSAN</t>
  </si>
  <si>
    <t>DECHO-ARSAN</t>
  </si>
  <si>
    <t>DECOR-ARSAN</t>
  </si>
  <si>
    <t>DEGUN-ARSAN</t>
  </si>
  <si>
    <t>DEGUA-ARSAN</t>
  </si>
  <si>
    <t>DEGUV-ARSAN</t>
  </si>
  <si>
    <t>DEMAG-ARSAN</t>
  </si>
  <si>
    <t>DENAR-ARSAN</t>
  </si>
  <si>
    <t>DENOR-ARSAN</t>
  </si>
  <si>
    <t>DEPUT-ARSAN</t>
  </si>
  <si>
    <t>DEQUI-ARSAN</t>
  </si>
  <si>
    <t>DESAP-ARSAN</t>
  </si>
  <si>
    <t>DESUC-ARSAN</t>
  </si>
  <si>
    <t>DETOL-ARSAN</t>
  </si>
  <si>
    <t>DEVIC-ARSAN</t>
  </si>
  <si>
    <t>DEURA-ARSAN</t>
  </si>
  <si>
    <t>DISAN-NIVEL CENTRAL</t>
  </si>
  <si>
    <t>SECSA-DEANT</t>
  </si>
  <si>
    <t>SECSA-DEATA</t>
  </si>
  <si>
    <t>SECBOG-DECUN</t>
  </si>
  <si>
    <t>SECSA-DEUIL</t>
  </si>
  <si>
    <t>SECSA-DEMET</t>
  </si>
  <si>
    <t>SECSA-DERIS</t>
  </si>
  <si>
    <t>SECSA-DESAN</t>
  </si>
  <si>
    <t>SECSA-DEVAL</t>
  </si>
  <si>
    <t>AREA DE SANIDAD AMAZONAS</t>
  </si>
  <si>
    <t>AREA DE SANIDAD ARAUCA</t>
  </si>
  <si>
    <t>AREA DE SANIDAD BOLIVAR</t>
  </si>
  <si>
    <t>AREA DE SANIDAD BOYACA</t>
  </si>
  <si>
    <t>AREA DE SANIDAD CALDAS</t>
  </si>
  <si>
    <t>AREA DE SANIDAD CAQUETA</t>
  </si>
  <si>
    <t>AREA DE SANIDAD CASANARE</t>
  </si>
  <si>
    <t>AREA DE SANIDAD CAUCA</t>
  </si>
  <si>
    <t>AREA DE SANIDAD CESAR</t>
  </si>
  <si>
    <t>AREA DE SANIDAD CHOCO</t>
  </si>
  <si>
    <t>AREA DE SANIDAD CORDOBA</t>
  </si>
  <si>
    <t>AREA DE SANIDAD GUAINIA</t>
  </si>
  <si>
    <t>AREA DE SANIDAD GUAJIRA</t>
  </si>
  <si>
    <t>AREA DE SANIDAD GUAVIARE</t>
  </si>
  <si>
    <t>AREA DE SANIDAD MAGDALENA</t>
  </si>
  <si>
    <t>AREA DE SANIDAD NARIÑO</t>
  </si>
  <si>
    <t>AREA DE SANIDAD NORTE DE SANTANDER</t>
  </si>
  <si>
    <t>AREA DE SANIDAD PUTUMAYO</t>
  </si>
  <si>
    <t>AREA DE SANIDAD QUINDIO</t>
  </si>
  <si>
    <t>AREA DE SANIDAD SAN ANDRES Y PROVIDENCIA</t>
  </si>
  <si>
    <t>AREA DE SANIDAD SUCRE</t>
  </si>
  <si>
    <t>AREA DE SANIDAD TOLIMA</t>
  </si>
  <si>
    <t>AREA DE SANIDAD VICHADA</t>
  </si>
  <si>
    <t>AREA SANIDAD URABA</t>
  </si>
  <si>
    <t>DIRECCION DE SANIDAD NIVEL CENTRAL</t>
  </si>
  <si>
    <t>SECCIONAL SANIDAD ATLANTICO</t>
  </si>
  <si>
    <t>SECCIONAL SANIDAD BOGOTA Y DECUND</t>
  </si>
  <si>
    <t>SECSA-DECUN</t>
  </si>
  <si>
    <t>800127508-8</t>
  </si>
  <si>
    <t>900807338-3</t>
  </si>
  <si>
    <t>900801209-4</t>
  </si>
  <si>
    <t>800141397-5</t>
  </si>
  <si>
    <t>800141379-2</t>
  </si>
  <si>
    <t>800141338-0</t>
  </si>
  <si>
    <t>830000097-5</t>
  </si>
  <si>
    <t>830053227-3</t>
  </si>
  <si>
    <t>830042321-0</t>
  </si>
  <si>
    <t>800140603-3</t>
  </si>
  <si>
    <t>800140625-5</t>
  </si>
  <si>
    <t>800140985-1</t>
  </si>
  <si>
    <t>800140611-2</t>
  </si>
  <si>
    <t>800226849-9</t>
  </si>
  <si>
    <t>800141336-6</t>
  </si>
  <si>
    <t>804003971-7</t>
  </si>
  <si>
    <t>800141206-7</t>
  </si>
  <si>
    <t>808000859-0</t>
  </si>
  <si>
    <t>809010745-6</t>
  </si>
  <si>
    <t>830090486-1</t>
  </si>
  <si>
    <t>900192793-1</t>
  </si>
  <si>
    <t>900149064-7</t>
  </si>
  <si>
    <t>900263078-7</t>
  </si>
  <si>
    <t>900233117-8</t>
  </si>
  <si>
    <t>900259415-0</t>
  </si>
  <si>
    <t>900393379-0</t>
  </si>
  <si>
    <t>900360623-7</t>
  </si>
  <si>
    <t>900486439-1</t>
  </si>
  <si>
    <t>900486513-7</t>
  </si>
  <si>
    <t>900552743-7</t>
  </si>
  <si>
    <t>900593683-9</t>
  </si>
  <si>
    <t>900634185-1</t>
  </si>
  <si>
    <t>900805219-6</t>
  </si>
  <si>
    <t>Cant.</t>
  </si>
  <si>
    <t xml:space="preserve"> UNIDAD </t>
  </si>
  <si>
    <t xml:space="preserve">CORREO ELECTRÓNICO UNIDAD </t>
  </si>
  <si>
    <t>OBJETO CONTRACTUAL</t>
  </si>
  <si>
    <t>FECHA REAL DE ENTREGA ECO a GRUPO PRECONTRACTUAL</t>
  </si>
  <si>
    <t>FECHA DE APROBACIÓN DE ECO Y ENTREGA A ETAPA PRECONTRACTUAL CON CDP</t>
  </si>
  <si>
    <t>COMPONENTES</t>
  </si>
  <si>
    <t>MES PRESENTACIÓN ESTUDIO PREVIO</t>
  </si>
  <si>
    <t>FECHA PRESENTACIÓN ESTUDIO PREVIO</t>
  </si>
  <si>
    <t>FECHA APROBACIÓN ESTUDIO PREVIO</t>
  </si>
  <si>
    <t>OBJETO DEL PROCESO</t>
  </si>
  <si>
    <t xml:space="preserve">VIGENCIA ACTUAL </t>
  </si>
  <si>
    <t>VIGENCIA FUTURA</t>
  </si>
  <si>
    <t xml:space="preserve">TE. DIEGO ARMANDO BUITRAGO NUÑEZ </t>
  </si>
  <si>
    <t>diego.buitrago2768@correo.policia.gov.co</t>
  </si>
  <si>
    <t>decas.ofcon@policia.gov.co</t>
  </si>
  <si>
    <t xml:space="preserve">GUGED </t>
  </si>
  <si>
    <t>ARLOG</t>
  </si>
  <si>
    <t xml:space="preserve">DECAS </t>
  </si>
  <si>
    <t xml:space="preserve">BIESO </t>
  </si>
  <si>
    <t xml:space="preserve">TAHUM </t>
  </si>
  <si>
    <t xml:space="preserve">ALMIN </t>
  </si>
  <si>
    <t>PRESTACION DE SERVICIO POSTALES NACIONAL PARA EL DEPARTAMNETO DE POLICIA CASANARE.</t>
  </si>
  <si>
    <t xml:space="preserve">SUMINISTRO DE COMBUSTIBLE PARA EL FUNCIONAMIENTO DE EQUIPOS DESTINADOS AL EMBELLECIMIENTO Y ORNATO Y PLANTAS GENERADORAS DE ELECTRICIDAD DEL DEPARTAMENTO DE POLICIA CASANARE. </t>
  </si>
  <si>
    <t>SERVICIOS ALIMENTICIOS Y REFRIGERIOS PARA EL PERSONAL DEL DEPARTAMENTO DE POLICIA CASANARE COMPROMETIDO EN LAS VOTACIONES PARA LA ELECCION DE CONGRESO Y PRESIDENCIA D ELA REPUBLICA</t>
  </si>
  <si>
    <t>PRESTACION DE SERVICIOS DE BIENESTAR SOCIAL, CAPACITACION Y ESTIMULOS QUE INCLUYAN( RECREACION, ASISTENCIA SOCIAL, CAPACITACION  Y ESTIMULOS QUE INCLUYAN (RECREACION, ASISTENCIA SOCIAL, CAPACITACION, ESTIMULOS Y ALIMENTACION), EN BENEFICIO DEL PERSONAL( UNIFORMADO, NO UNIFORMADO, BENEFICIARIOS, PERSONAL DE LA RESERVA ACTIVA POLICIAL Y EN TRANSICION A LA MISMA), ADSCRITOS AL DEPARTAMENTO DE POLICIA CASANARE.</t>
  </si>
  <si>
    <t>SERVICIO DE ASEO Y LIMPIEZA INTEGRAL PARA LAS INSTALACIONES QUE CONFORMAN EL COMANDO DE POLICIA CASANARE, ADQUISICION DE PRODUCTOS Y UTENSILIOS DE CAFETERIA PARA EL DEPARTAMENTO, LAVADO DE TANQUES Y FUMIGACIÓN PARA EL AREA DE SANIDAD.</t>
  </si>
  <si>
    <t>SERVICIO DE TRANSPORTE TERRESTRE PARA EL PERSONAL POLICIAL ADSCRITO Y DE APOYO AL DEPARTAMENTO DE POLICIA CASANARE, QUE PARTICIPARÁ EN LOS COMICIOS ELECTORALES (PLAN DEMOCRACIA ) VIGENCIA 2018(ANTES, DURANTE Y DESPUES DEL EVENTO ).</t>
  </si>
  <si>
    <t>ADQUISICIÓN DE ELEMENTOS DE PRIMERA RESPUESTA ANTE EMERGENCIAS DE
ORIGEN NATURAL U ANTRÓPICA, PARA EL DEPARTAMENTO DE POLICIA CASANARE</t>
  </si>
  <si>
    <t>RECOLECCION,
TRANSPORTE, TRATAMIENTO Y DISPOSICION FINAL DE ELEMENTOS PELIGROSOS</t>
  </si>
  <si>
    <t>PN DECAS CD 001 2018</t>
  </si>
  <si>
    <t>PN DECAS MIC 006 2018</t>
  </si>
  <si>
    <t>PN DECAS MIC 007 2018</t>
  </si>
  <si>
    <t>PN DECAS MIC 018 2018</t>
  </si>
  <si>
    <t xml:space="preserve">ENERO </t>
  </si>
  <si>
    <t xml:space="preserve">FEBRERO </t>
  </si>
  <si>
    <t xml:space="preserve">MARZO </t>
  </si>
  <si>
    <t>21-5-10001-18</t>
  </si>
  <si>
    <t>900.062.917_9</t>
  </si>
  <si>
    <t xml:space="preserve">SERVICIOS POSTALES NACIONALES S.A </t>
  </si>
  <si>
    <t>N/A</t>
  </si>
  <si>
    <t xml:space="preserve">ANGELICA MARIA VANEGAS URIBE </t>
  </si>
  <si>
    <t>21-8-10002-18</t>
  </si>
  <si>
    <t>811.009.788-8</t>
  </si>
  <si>
    <t>DISTRACOM S.A.</t>
  </si>
  <si>
    <t>HECTOR JOSE DE VIVERO PEREZ</t>
  </si>
  <si>
    <t>21-7-10003-18</t>
  </si>
  <si>
    <t>51.820.659-7</t>
  </si>
  <si>
    <t xml:space="preserve">ASADERO Y ESTADERO HATO CORRALITO </t>
  </si>
  <si>
    <t xml:space="preserve">BLANCA DORIS MUÑOZ AGUIRRE </t>
  </si>
  <si>
    <t>21-7-10004-18</t>
  </si>
  <si>
    <t>900285582-2</t>
  </si>
  <si>
    <t xml:space="preserve">LA MAMONA S.A.S </t>
  </si>
  <si>
    <t xml:space="preserve">ALEJANDRO ALBERTO VARGAS VILLAMIL </t>
  </si>
  <si>
    <t>21-2-10006-18</t>
  </si>
  <si>
    <t>900906041-6</t>
  </si>
  <si>
    <t>PRODESIN EPP1 S.A.S</t>
  </si>
  <si>
    <t>GONZALO GARAVITO PAEZ</t>
  </si>
  <si>
    <t>LOGISTICA</t>
  </si>
  <si>
    <t xml:space="preserve">INTENDENCIA </t>
  </si>
  <si>
    <t xml:space="preserve">ARCHIVO </t>
  </si>
  <si>
    <t>id.CO1.BDOS.358804</t>
  </si>
  <si>
    <t>id.CO1.BDOS.359317</t>
  </si>
  <si>
    <t>id.CO1.BDOS.382934</t>
  </si>
  <si>
    <t>MOVILIDAD</t>
  </si>
  <si>
    <t xml:space="preserve">TALENTO HUMANO </t>
  </si>
  <si>
    <t>PN DECAS MIC 010 2018</t>
  </si>
  <si>
    <t>PN DECAS MIC 016 2018</t>
  </si>
  <si>
    <t>844002859_0</t>
  </si>
  <si>
    <t>COOTRANSMILENIO LTDA.</t>
  </si>
  <si>
    <t xml:space="preserve">LUIS FERNANDO DUARTE BAQUERO </t>
  </si>
  <si>
    <t xml:space="preserve">PN DECAS MIC 008 2018 </t>
  </si>
  <si>
    <t>MARZO</t>
  </si>
  <si>
    <t>800062177_2</t>
  </si>
  <si>
    <t>MR CLEAN SA.</t>
  </si>
  <si>
    <t>WILSON FERNANDO PRIETO CRUZ</t>
  </si>
  <si>
    <t>21-7-10005-18</t>
  </si>
  <si>
    <t>id.CO1.BDOS.367401</t>
  </si>
  <si>
    <t>21-7-10007-18</t>
  </si>
  <si>
    <t>900396513_3</t>
  </si>
  <si>
    <t>ALBESO S.A.S</t>
  </si>
  <si>
    <t>SILVIA MARCELA DIAZ GORDILLO</t>
  </si>
  <si>
    <t xml:space="preserve">MATENIMIENTO PREVENTIVO Y CORRECTIVO Y/O MEJORAS LOCATIVAS DE LA SINSTALACIONES POLIICALES DEL DEPARTAMENTO DE POLICIA CASANARE A PRECIOS UNITARIOS GIJOS SIN FORMULA DE REAJUSTE </t>
  </si>
  <si>
    <t>OBRA</t>
  </si>
  <si>
    <t>SA MC 001 2018</t>
  </si>
  <si>
    <t xml:space="preserve">ABRIL </t>
  </si>
  <si>
    <t>21-6-10008-18</t>
  </si>
  <si>
    <t>7.713.237</t>
  </si>
  <si>
    <t xml:space="preserve">OSCAR HERNANDO ANDRADE LARA </t>
  </si>
  <si>
    <t xml:space="preserve">NO APLICA </t>
  </si>
  <si>
    <t>GUMOV</t>
  </si>
  <si>
    <t>ASIGNACION SEGURO OBLIGATORIO QUE AMPARA LOS DAÑOS CORPORALES QUE SE CAUSEN A LAS PERSONAS EN ACCIDENTES DE TRANSITO SOAT, A TRAVES DEL ACUERDO MARCOI DE PRECIOS PARA LA COMPRA DE SOAT CCE-292-1AMP-2015</t>
  </si>
  <si>
    <t xml:space="preserve">LA PREVISORA </t>
  </si>
  <si>
    <t xml:space="preserve">MARLENE VALERO </t>
  </si>
  <si>
    <t>ADQUISICION DE PAPELERIA, UTILES DE ESCRITORIO Y OFICINA PARA EL DEPARTAMENTO POLICIA CASANARE.</t>
  </si>
  <si>
    <t xml:space="preserve">MOVILIDAD </t>
  </si>
  <si>
    <t>PN DECAS SA SI 003 2017</t>
  </si>
  <si>
    <t>PN DECAS MIC 046 2017</t>
  </si>
  <si>
    <t>PN DECAS MIC 047 2017</t>
  </si>
  <si>
    <t>PN DECAS SA MC 002 2017</t>
  </si>
  <si>
    <t>PN DECAS SA MC 004 2017</t>
  </si>
  <si>
    <t>PN DECAS MIC 065</t>
  </si>
  <si>
    <t>21-8-10021-17</t>
  </si>
  <si>
    <t>21-8-10023-17</t>
  </si>
  <si>
    <t>21-8-10024-17</t>
  </si>
  <si>
    <t>21-7-10026-17</t>
  </si>
  <si>
    <t>21-7-10027-17</t>
  </si>
  <si>
    <t>21-2-10034-17</t>
  </si>
  <si>
    <t>900065822-1</t>
  </si>
  <si>
    <t>RIVARCA</t>
  </si>
  <si>
    <t>JULIO ERNESTO RIVEROS VARGAS</t>
  </si>
  <si>
    <t>900598786-1</t>
  </si>
  <si>
    <t>DRJ MULTISERVICIOS EMPRESARIALES S.A.S</t>
  </si>
  <si>
    <t xml:space="preserve">SEBASTIAN EDUARDO CAMACHO </t>
  </si>
  <si>
    <t>WILLIAM ARTURO SANCHEZ HERNANDEZ</t>
  </si>
  <si>
    <t>900141810-9</t>
  </si>
  <si>
    <t>COMERCIALIZADORA ANG S.A.S.</t>
  </si>
  <si>
    <t>GREGORIO ANGEL CAMARGO</t>
  </si>
  <si>
    <t>900314764-1</t>
  </si>
  <si>
    <t xml:space="preserve">DISTRIBUCIONES ALIADAS </t>
  </si>
  <si>
    <t xml:space="preserve">MARTHA VIRGINIA AHUMADA CASTILLO </t>
  </si>
  <si>
    <t>id.CO1.BDOS.382804</t>
  </si>
  <si>
    <t>ADICION No 02: SUMINISTRO DE COMBUSTIBLE PARA EL PARQUE AUTOMOTOR DE PROPIEDAD Y/O EN COMODATO DE LA POLICIA NACIONAL O POR LOS CUALES SEA LEGALMENTE RESPONSABLE, ASIGNADOS AL DEPARTAMENTO DE POLICIA CASANARE, Y A VEHICULOS DE OTRAS UNIDADES POLICIALES QUE POR NECESIDADES DEL SERVICIO SE ENCUENTRAN EN COMISION</t>
  </si>
  <si>
    <t>JUNIO</t>
  </si>
  <si>
    <t>AGOSTO</t>
  </si>
  <si>
    <t>MINIMA CUANTIA</t>
  </si>
  <si>
    <t>SELECCIÓN ABREVIADA SUBASTA INVERSA</t>
  </si>
  <si>
    <t xml:space="preserve">ARLOG </t>
  </si>
  <si>
    <t>SERVICIO DE HOSPEDAJE (CUARTOS DE HOTEL PARA EL PERSONAL DE APOYO DE LA POLICIA NACIONAL, QUE PRESTARA SUS SERVICIOS ANTES, DURANTE Y DESPUES DE LOS COMICIOS ELECTORALES 2018 EN LA JURISDICCION DEL DEPARTAMENTO DE POLCIA CASANARE)"</t>
  </si>
  <si>
    <t>PN DECAS MIC 023 2018</t>
  </si>
  <si>
    <t>21-7-10009-18</t>
  </si>
  <si>
    <t>800119084-3</t>
  </si>
  <si>
    <t xml:space="preserve">AEROVIAJES DEL CASANARE LIMITADA </t>
  </si>
  <si>
    <t>HECTOR ENRIQUE MONTAÑA MUÑOZ</t>
  </si>
  <si>
    <t>id.CO1.PCCNTR.407136</t>
  </si>
  <si>
    <t xml:space="preserve">PRESTACION DEL SERVICIO DE ALIMENTACION EN BENEFICIO DEL PERSONAL ADSCRITO AL DEPARTAMENTO DE POLICIA CASANARE </t>
  </si>
  <si>
    <t xml:space="preserve">BIENESTAR SOCIAL </t>
  </si>
  <si>
    <t>PN DECAS MIC 024 2018</t>
  </si>
  <si>
    <t xml:space="preserve">MAYO </t>
  </si>
  <si>
    <t>51820659-7</t>
  </si>
  <si>
    <t xml:space="preserve">PLASTICOS JD S.A.S </t>
  </si>
  <si>
    <t>830063830-8</t>
  </si>
  <si>
    <t xml:space="preserve">ADQUISICION DE BOLSAS PARA EMBALAR CADAVERES, TRAJES DE BIOSEGUIRDAD, GUANTES DE NITRILO, Y TAPABOCAS PARA LA SECCIONAL DE INVESTIGACION CRIMINAL DEL DEPARTAMENTO DE POLICIA CASANARE. </t>
  </si>
  <si>
    <t xml:space="preserve">JHON EDISSON GOMEZ RISINQUE </t>
  </si>
  <si>
    <t>08/05//2018</t>
  </si>
  <si>
    <t>21-2-10011-18</t>
  </si>
  <si>
    <t>id.CO1.PCCNTR.192725</t>
  </si>
  <si>
    <t>21-7-10010-18</t>
  </si>
  <si>
    <t xml:space="preserve">GRUCA </t>
  </si>
  <si>
    <t>SUMINISTRO DE ALIMENTOS CONCENTRADOS, SUPLEMENTOS VITAMINICOS, MEDICAMENTOS, MATERIAL VETERINARIO Y OTROS ELEMENTOS PARA EL SOSTENIMIENTO DE LOS SEMOVIENTES EQUINOS Y CANINOS DEL GRUPO DE CARABINEROS Y GUIAS CANINOS DEL DEL DEPARTAMENTO DE POLICIA CASANARE.</t>
  </si>
  <si>
    <t>PN DECAS MIC 026 2018</t>
  </si>
  <si>
    <t xml:space="preserve">JUNIO </t>
  </si>
  <si>
    <t>21-2-10012-18</t>
  </si>
  <si>
    <t>900477830-9</t>
  </si>
  <si>
    <t>VETERINARIA RANCHO DE LES S.A.S.</t>
  </si>
  <si>
    <t xml:space="preserve">LEIDY ESPERANZA RODRIGUEZ UMBARIBA </t>
  </si>
  <si>
    <t>ADQUISICION DE PAPELERIA, UTILES DE ESCRITORIO Y OFICINA PARA EL DEPARTAMENTO DE POLICIA CASANARE.</t>
  </si>
  <si>
    <t>PN DECAS MIC 028 2018</t>
  </si>
  <si>
    <t>21-2-10013-18</t>
  </si>
  <si>
    <t xml:space="preserve">DISTRIBUCIONES ALIADAS BJ S.A.S. </t>
  </si>
  <si>
    <t>id.CO1.PCCNTR.414046</t>
  </si>
  <si>
    <t>id.CO1.PCCNTR.417339</t>
  </si>
  <si>
    <t>id.CO1.PCCNTR.422401</t>
  </si>
  <si>
    <t>id.CO1.PCCNTR.456455</t>
  </si>
  <si>
    <t>id.CO1.PCCNTR.467307</t>
  </si>
  <si>
    <t>Id.CO1.PCCNTR.194702</t>
  </si>
  <si>
    <t xml:space="preserve">CO1.PCCNTR.195102      </t>
  </si>
  <si>
    <t>CO1.PCCNTR.192725</t>
  </si>
  <si>
    <t>VIGENCIA  FUTURA :SUMINISTRO DE COMBUSTIBLE PARA EL PARQUE AUTOMOTOR DE PROPIEDAD Y/O EN COMODATO DE LA POLICIA NACIONAL O POR LOS CUALES SEA LEGALMENTE RESPONSABLE, ASIGNADOS AL DEPARTAMENTO DE POLICIA CASANARE, Y A VEHICULOS DE OTRAS UNIDADES POLICIALES QUE POR NECESIDADES DEL SERVICIO SE ENCUENTRAN EN COMISION.</t>
  </si>
  <si>
    <t>VIGENCIA  FUTURA: SUMINISTRO DE COMBUSTIBLE GAS NATURAL (GNV)PARA LOS VEHICULOS DE PROPIEDAD Y/O EN COMODATO  DE LA POLICIA NACIONAL  O POR LOS CUALES SEA LEGALMENTE  RESPONSABLE, ASIGNADOS AL DEPARTAMENTO DE POLICIA CASANARE , Y A VEHICULOS  DE OTRAS UNIDADES  POLICIALES  QUE POR NECESIDADES DEL SERVICIO  SE ENCUENTRAN EN COMISION.</t>
  </si>
  <si>
    <t>VIGENCIA  FUTURA: SUMINISTRO DE ALIMENTOS CONCENTRADOS, SUPLEMENTOS ALIMENTICIOS PARA EL SOSTENIMIENTO DE SEMOVIENTES EQUINOS Y CANINOS DE LA POLICIA NACIONAL ADSCRITOS AL GRUPO DE CARABINEROS Y UNIDAD CANINA DEL DEPARTAMENTO DE POLICIA CASANARE.</t>
  </si>
  <si>
    <t xml:space="preserve">VIGENCIA  FUTURA: MANTENIMIENTO PREVENTIVO Y/O CORRECTIVO DEL EQUIPO DE TRANSPORTE AUTOMOTOR TERRESTRE, INCLUYENDO MANO DE OBRA Y SUMINISTRO DE REPUESTOS, LUBRICANTES Y GRASAS ORIGINALES, PARA LOS VEHICULOS DE PROPIEDAD Y/O EN COMODATO DE LA POLICIA NACIONAL, ASIGNADOS AL DEPARTAMENTO DE POLICIA CASANARE, Y A VEHICULOS DE OTRAS UNIDADES POLICIALES QUE POR NECESIDADES DEL SERVICIO QUE SE ENCUENTRAN EN COMISION EN EL DEPARTAMENTO. </t>
  </si>
  <si>
    <t>VIGENCIA  FUTURA: MANTENIMIENTO PREVENTIVO Y CORRECTIVO A TODO COSTO INCLUYENDO MANO DE OBRA, PARA LAS MOTOCICLETAS DE PROPIEDAD Y/O EN COMODATO DE LA POLICÍA NACIONAL, ASIGNADOS AL DEPARTAMENTO DE POLICÍA CASANARE, Y DE OTRAS UNIDADES QUE POR NECESIDADES DEL SERVICIO SE ENCUENTREN EN COMISION DE SERVICIO EN LA UNIDAD.</t>
  </si>
  <si>
    <t xml:space="preserve"> VIGENCIA  FUTURA: SUMINISTRO DE COMBUSTIBLE PARA EL PARQUE AUTOMOTOR DE PROPIEDAD Y/O EN COMODATO DE LA POLICIA NACIONAL O POR LOS CUALES SEA LEGALMENTE RESPONSABLE, ASIGNADOS AL DEPARTAMENTO DE POLICIA CASANARE, Y A VEHICULOS DE OTRAS UNIDADES POLICIALES QUE POR NECESIDADES DEL SERVICIO SE ENCUENTRAN EN COMISION.</t>
  </si>
  <si>
    <t>CO1.PCCNTR.193410</t>
  </si>
  <si>
    <t xml:space="preserve">CO1.PCCNTR.195103 </t>
  </si>
  <si>
    <t>CO1.PCCNTR.265001</t>
  </si>
  <si>
    <t>VIGENCIA FUTURA: ADQUISICION DE PAPELERIA, UTILES DE ESCRITORIO Y OFICINA PARA EL DEPARTAMENTO POLICIA CASANARE.</t>
  </si>
  <si>
    <t>CO1.PCCNTR.324851</t>
  </si>
  <si>
    <t>CO1.PCCNTR.359635</t>
  </si>
  <si>
    <t>ADICION N° 2:  SUMINISTRO DE COMBUSTIBLE PARA EL PARQUE AUTOMOTOR DE PROPIEDAD Y/O EN COMODATO DE LA POLICIA NACIONAL O POR LOS CUALES SEA LEGALMENTE RESPONSABLE, ASIGNADOS AL DEPARTAMENTO DE POLICIA CASANARE, Y A VEHICULOS DE OTRAS UNIDADES POLICIALES QUE POR NECESIDADES DEL SERVICIO SE ENCUENTRAN EN COMISION.</t>
  </si>
  <si>
    <t xml:space="preserve">SIJIN </t>
  </si>
  <si>
    <t>PN DECAS MIC 017 2018</t>
  </si>
  <si>
    <t xml:space="preserve">CARABINEROS </t>
  </si>
  <si>
    <t>ADICION No. 02:   MANTENIMIENTO PREVENTIVO Y CORRECTIVO A TODO COSTO INCLUYENDO MANO DE OBRA, PARA LAS MOTOCICLETAS DE PROPIEDAD Y/O EN COMODATO DE LA POLICÍA NACIONAL, ASIGNADOS AL DEPARTAMENTO DE POLICÍA CASANARE, Y DE OTRAS UNIDADES QUE POR NECESIDADES DEL SERVICIO SE ENCUENTREN EN COMISION DE SERVICIO EN LA UNIDAD.</t>
  </si>
  <si>
    <t>ADICION N° 2 : MANTENIMIENTO PREVENTIVO Y CORRECTIVO A TODO COSTO INCLUYENDO MANO DE OBRA, PARA LAS MOTOCICLETAS DE PROPIEDAD Y/O EN COMODATO DE LA POLICÍA NACIONAL, ASIGNADOS AL DEPARTAMENTO DE POLICÍA CASANARE, Y DE OTRAS UNIDADES QUE POR NECESIDADES DEL SERVICIO SE ENCUENTREN EN COMISION DE SERVICIO EN LA UNIDAD.</t>
  </si>
  <si>
    <t>ADICION No 03: SUMINISTRO DE COMBUSTIBLE PARA EL PARQUE AUTOMOTOR DE PROPIEDAD Y/O EN COMODATO DE LA POLICIA NACIONAL O POR LOS CUALES SEA LEGALMENTE RESPONSABLE, ASIGNADOS AL DEPARTAMENTO DE POLICIA CASANARE, Y A VEHICULOS DE OTRAS UNIDADES POLICIALES QUE POR NECESIDADES DEL SERVICIO SE ENCUENTRAN EN COMISION</t>
  </si>
  <si>
    <t>31/04/2018</t>
  </si>
  <si>
    <t>ADICION N° 3:  SUMINISTRO DE COMBUSTIBLE PARA EL PARQUE AUTOMOTOR DE PROPIEDAD Y/O EN COMODATO DE LA POLICIA NACIONAL O POR LOS CUALES SEA LEGALMENTE RESPONSABLE, ASIGNADOS AL DEPARTAMENTO DE POLICIA CASANARE, Y A VEHICULOS DE OTRAS UNIDADES POLICIALES QUE POR NECESIDADES DEL SERVICIO SE ENCUENTRAN EN COMISION.</t>
  </si>
  <si>
    <t>PRORROGA 1:  SERVICIO DE TRANSPORTE TERRESTRE PARA EL PERSONAL POLICIAL ADSCRITO Y DE APOYO AL DEPARTAMENTO DE POLICIA CASANARE, QUE PARTICIPARÁ EN LOS COMICIOS ELECTORALES (PLAN DEMOCRACIA ) VIGENCIA 2018(ANTES, DURANTE Y DESPUES DEL EVENTO ).</t>
  </si>
  <si>
    <t>NO APLICA</t>
  </si>
  <si>
    <t>PRORROGA N° 1:  SERVICIO DE TRANSPORTE TERRESTRE PARA EL PERSONAL POLICIAL ADSCRITO Y DE APOYO AL DEPARTAMENTO DE POLICIA CASANARE, QUE PARTICIPARÁ EN LOS COMICIOS ELECTORALES (PLAN DEMOCRACIA ) VIGENCIA 2018(ANTES, DURANTE Y DESPUES DEL EVENTO ).</t>
  </si>
  <si>
    <t>ADICION N°  1 :  SERVICIO DE TRANSPORTE TERRESTRE PARA EL PERSONAL POLICIAL ADSCRITO Y DE APOYO AL DEPARTAMENTO DE POLICIA CASANARE, QUE PARTICIPARÁ EN LOS COMICIOS ELECTORALES (PLAN DEMOCRACIA ) VIGENCIA 2018(ANTES, DURANTE Y DESPUES DEL EVENTO ).</t>
  </si>
  <si>
    <t>ADICION  N° 1:  SERVICIO DE TRANSPORTE TERRESTRE PARA EL PERSONAL POLICIAL ADSCRITO Y DE APOYO AL DEPARTAMENTO DE POLICIA CASANARE, QUE PARTICIPARÁ EN LOS COMICIOS ELECTORALES (PLAN DEMOCRACIA ) VIGENCIA 2018(ANTES, DURANTE Y DESPUES DEL EVENTO ).</t>
  </si>
  <si>
    <t>ADICION N° 1:   SERVICIOS ALIMENTICIOS Y REFRIGERIOS PARA EL PERSONAL DEL DEPARTAMENTO DE POLICIA CASANARE COMPROMETIDO EN LAS VOTACIONES PARA LA ELECCION DE CONGRESO Y PRESIDENCIA D ELA REPUBLICA</t>
  </si>
  <si>
    <t>ADICION N° 01:    SERVICIOS ALIMENTICIOS Y REFRIGERIOS PARA EL PERSONAL DEL DEPARTAMENTO DE POLICIA CASANARE COMPROMETIDO EN LAS VOTACIONES PARA LA ELECCION DE CONGRESO Y PRESIDENCIA D ELA REPUBLICA</t>
  </si>
  <si>
    <t>PRORROGA N° 01 SERVICIO DE HOSPEDAJE (CUARTOS DE HOTEL PARA EL PERSONAL DE APOYO DE LA POLICIA NACIONAL, QUE PRESTARA SUS SERVICIOS ANTES, DURANTE Y DESPUES DE LOS COMICIOS ELECTORALES 2018 EN LA JURISDICCION DEL DEPARTAMENTO DE POLCIA CASANARE)"</t>
  </si>
  <si>
    <t>PRORROGA N° 1:      SERVICIO DE HOSPEDAJE (CUARTOS DE HOTEL PARA EL PERSONAL DE APOYO DE LA POLICIA NACIONAL, QUE PRESTARA SUS SERVICIOS ANTES, DURANTE Y DESPUES DE LOS COMICIOS ELECTORALES 2018 EN LA JURISDICCION DEL DEPARTAMENTO DE POLCIA CASANARE)"</t>
  </si>
  <si>
    <t>ADICION N° 1:      SERVICIO DE HOSPEDAJE (CUARTOS DE HOTEL PARA EL PERSONAL DE APOYO DE LA POLICIA NACIONAL, QUE PRESTARA SUS SERVICIOS ANTES, DURANTE Y DESPUES DE LOS COMICIOS ELECTORALES 2018 EN LA JURISDICCION DEL DEPARTAMENTO DE POLCIA CASANARE)"</t>
  </si>
  <si>
    <t>ADICION N° 01 SERVICIO DE HOSPEDAJE (CUARTOS DE HOTEL PARA EL PERSONAL DE APOYO DE LA POLICIA NACIONAL, QUE PRESTARA SUS SERVICIOS ANTES, DURANTE Y DESPUES DE LOS COMICIOS ELECTORALES 2018 EN LA JURISDICCION DEL DEPARTAMENTO DE POLCIA CASANARE)"</t>
  </si>
  <si>
    <t>PRORROGA 01 : SUMINISTRO DE COMBUSTIBLE PARA EL PARQUE AUTOMOTOR DE PROPIEDAD Y/O EN COMODATO DE LA POLICIA NACIONAL O POR LOS CUALES SEA LEGALMENTE RESPONSABLE, ASIGNADOS AL DEPARTAMENTO DE POLICIA CASANARE, Y A VEHICULOS DE OTRAS UNIDADES POLICIALES QUE POR NECESIDADES DEL SERVICIO SE ENCUENTRAN EN COMISION</t>
  </si>
  <si>
    <t>PRORROGA N° 01    :  SUMINISTRO DE COMBUSTIBLE PARA EL PARQUE AUTOMOTOR DE PROPIEDAD Y/O EN COMODATO DE LA POLICIA NACIONAL O POR LOS CUALES SEA LEGALMENTE RESPONSABLE, ASIGNADOS AL DEPARTAMENTO DE POLICIA CASANARE, Y A VEHICULOS DE OTRAS UNIDADES POLICIALES QUE POR NECESIDADES DEL SERVICIO SE ENCUENTRAN EN COMISION.</t>
  </si>
  <si>
    <t xml:space="preserve">PRORROGA N° 01 : MANTENIMIENTO PREVENTIVO Y/O CORRECTIVO DEL EQUIPO DE TRANSPORTE AUTOMOTOR TERRESTRE, INCLUYENDO MANO DE OBRA Y SUMINISTRO DE REPUESTOS, LUBRICANTES Y GRASAS ORIGINALES, PARA LOS VEHICULOS DE PROPIEDAD Y/O EN COMODATO DE LA POLICIA NACIONAL, ASIGNADOS AL DEPARTAMENTO DE POLICIA CASANARE, Y A VEHICULOS DE OTRAS UNIDADES POLICIALES QUE POR NECESIDADES DEL SERVICIO QUE SE ENCUENTRAN EN COMISION EN EL DEPARTAMENTO. </t>
  </si>
  <si>
    <t xml:space="preserve">JULIO </t>
  </si>
  <si>
    <t xml:space="preserve">PRORROGA 1: MANTENIMIENTO PREVENTIVO Y/O CORRECTIVO DEL EQUIPO DE TRANSPORTE AUTOMOTOR TERRESTRE, INCLUYENDO MANO DE OBRA Y SUMINISTRO DE REPUESTOS, LUBRICANTES Y GRASAS ORIGINALES, PARA LOS VEHICULOS DE PROPIEDAD Y/O EN COMODATO DE LA POLICIA NACIONAL, ASIGNADOS AL DEPARTAMENTO DE POLICIA CASANARE, Y A VEHICULOS DE OTRAS UNIDADES POLICIALES QUE POR NECESIDADES DEL SERVICIO QUE SE ENCUENTRAN EN COMISION EN EL DEPARTAMENTO. </t>
  </si>
  <si>
    <t>PRORROGA N° 01   : MANTENIMIENTO PREVENTIVO Y CORRECTIVO A TODO COSTO INCLUYENDO MANO DE OBRA, PARA LAS MOTOCICLETAS DE PROPIEDAD Y/O EN COMODATO DE LA POLICÍA NACIONAL, ASIGNADOS AL DEPARTAMENTO DE POLICÍA CASANARE, Y DE OTRAS UNIDADES QUE POR NECESIDADES DEL SERVICIO SE ENCUENTREN EN COMISION DE SERVICIO EN LA UNIDAD.</t>
  </si>
  <si>
    <t>ADICION 01 : MANTENIMIENTO PREVENTIVO Y CORRECTIVO A TODO COSTO INCLUYENDO MANO DE OBRA, PARA LAS MOTOCICLETAS DE PROPIEDAD Y/O EN COMODATO DE LA POLICÍA NACIONAL, ASIGNADOS AL DEPARTAMENTO DE POLICÍA CASANARE, Y DE OTRAS UNIDADES QUE POR NECESIDADES DEL SERVICIO SE ENCUENTREN EN COMISION DE SERVICIO EN LA UNIDAD.</t>
  </si>
  <si>
    <t>PRORROGA N° 01   : SUMINISTRO DE COMBUSTIBLE GAS NATURAL (GNV)PARA LOS VEHICULOS DE PROPIEDAD Y/O EN COMODATO  DE LA POLICIA NACIONAL  O POR LOS CUALES SEA LEGALMENTE  RESPONSABLE, ASIGNADOS AL DEPARTAMENTO DE POLICIA CASANARE , Y A VEHICULOS  DE OTRAS UNIDADES  POLICIALES  QUE POR NECESIDADES DEL SERVICIO  SE ENCUENTRAN EN COMISION.</t>
  </si>
  <si>
    <t>PRORROGA N° 01     : SUMINISTRO DE COMBUSTIBLE GAS NATURAL (GNV)PARA LOS VEHICULOS DE PROPIEDAD Y/O EN COMODATO  DE LA POLICIA NACIONAL  O POR LOS CUALES SEA LEGALMENTE  RESPONSABLE, ASIGNADOS AL DEPARTAMENTO DE POLICIA CASANARE , Y A VEHICULOS  DE OTRAS UNIDADES  POLICIALES  QUE POR NECESIDADES DEL SERVICIO  SE ENCUENTRAN EN COMISION.</t>
  </si>
  <si>
    <t xml:space="preserve">ADICION N° 4 Y PRORROGA  02     : MANTENIMIENTO PREVENTIVO Y/O CORRECTIVO DEL EQUIPO DE TRANSPORTE AUTOMOTOR TERRESTRE, INCLUYENDO MANO DE OBRA Y SUMINISTRO DE REPUESTOS, LUBRICANTES Y GRASAS ORIGINALES, PARA LOS VEHICULOS DE PROPIEDAD Y/O EN COMODATO DE LA POLICIA NACIONAL, ASIGNADOS AL DEPARTAMENTO DE POLICIA CASANARE, Y A VEHICULOS DE OTRAS UNIDADES POLICIALES QUE POR NECESIDADES DEL SERVICIO QUE SE ENCUENTRAN EN COMISION EN EL DEPARTAMENTO. </t>
  </si>
  <si>
    <t xml:space="preserve">AGOSTO </t>
  </si>
  <si>
    <t xml:space="preserve">ADICION N°4 Y PRORROGA 2: MANTENIMIENTO PREVENTIVO Y/O CORRECTIVO DEL EQUIPO DE TRANSPORTE AUTOMOTOR TERRESTRE, INCLUYENDO MANO DE OBRA Y SUMINISTRO DE REPUESTOS, LUBRICANTES Y GRASAS ORIGINALES, PARA LOS VEHICULOS DE PROPIEDAD Y/O EN COMODATO DE LA POLICIA NACIONAL, ASIGNADOS AL DEPARTAMENTO DE POLICIA CASANARE, Y A VEHICULOS DE OTRAS UNIDADES POLICIALES QUE POR NECESIDADES DEL SERVICIO QUE SE ENCUENTRAN EN COMISION EN EL DEPARTAMENTO. </t>
  </si>
  <si>
    <t>ADICION N° 2 Y PRORROGA N° 02 :              MANTENIMIENTO PREVENTIVO Y CORRECTIVO A TODO COSTO INCLUYENDO MANO DE OBRA, PARA LAS MOTOCICLETAS DE PROPIEDAD Y/O EN COMODATO DE LA POLICÍA NACIONAL, ASIGNADOS AL DEPARTAMENTO DE POLICÍA CASANARE, Y DE OTRAS UNIDADES QUE POR NECESIDADES DEL SERVICIO SE ENCUENTREN EN COMISION DE SERVICIO EN LA UNIDAD.</t>
  </si>
  <si>
    <t>ADICION N° 03 Y ADICION 02              : MANTENIMIENTO PREVENTIVO Y CORRECTIVO A TODO COSTO INCLUYENDO MANO DE OBRA, PARA LAS MOTOCICLETAS DE PROPIEDAD Y/O EN COMODATO DE LA POLICÍA NACIONAL, ASIGNADOS AL DEPARTAMENTO DE POLICÍA CASANARE, Y DE OTRAS UNIDADES QUE POR NECESIDADES DEL SERVICIO SE ENCUENTREN EN COMISION DE SERVICIO EN LA UNIDAD.</t>
  </si>
  <si>
    <t>ADICION No 04 Y PRORROGA N° 02:             SUMINISTRO DE COMBUSTIBLE PARA EL PARQUE AUTOMOTOR DE PROPIEDAD Y/O EN COMODATO DE LA POLICIA NACIONAL O POR LOS CUALES SEA LEGALMENTE RESPONSABLE, ASIGNADOS AL DEPARTAMENTO DE POLICIA CASANARE, Y A VEHICULOS DE OTRAS UNIDADES POLICIALES QUE POR NECESIDADES DEL SERVICIO SE ENCUENTRAN EN COMISION</t>
  </si>
  <si>
    <t>ADICION N° 4 Y PRORROGA N° 02:                 SUMINISTRO DE COMBUSTIBLE PARA EL PARQUE AUTOMOTOR DE PROPIEDAD Y/O EN COMODATO DE LA POLICIA NACIONAL O POR LOS CUALES SEA LEGALMENTE RESPONSABLE, ASIGNADOS AL DEPARTAMENTO DE POLICIA CASANARE, Y A VEHICULOS DE OTRAS UNIDADES POLICIALES QUE POR NECESIDADES DEL SERVICIO SE ENCUENTRAN EN COMISION.</t>
  </si>
  <si>
    <t>ADICION N° 02  Y  PRORROGA  N° 02 :              SUMINISTRO DE COMBUSTIBLE GAS NATURAL (GNV)PARA LOS VEHICULOS DE PROPIEDAD Y/O EN COMODATO  DE LA POLICIA NACIONAL  O POR LOS CUALES SEA LEGALMENTE  RESPONSABLE, ASIGNADOS AL DEPARTAMENTO DE POLICIA CASANARE , Y A VEHICULOS  DE OTRAS UNIDADES  POLICIALES  QUE POR NECESIDADES DEL SERVICIO  SE ENCUENTRAN EN COMISION.</t>
  </si>
  <si>
    <t>ADICION N° 01 Y PRORROGA N° 02     : SUMINISTRO DE COMBUSTIBLE GAS NATURAL (GNV)PARA LOS VEHICULOS DE PROPIEDAD Y/O EN COMODATO  DE LA POLICIA NACIONAL  O POR LOS CUALES SEA LEGALMENTE  RESPONSABLE, ASIGNADOS AL DEPARTAMENTO DE POLICIA CASANARE , Y A VEHICULOS  DE OTRAS UNIDADES  POLICIALES  QUE POR NECESIDADES DEL SERVICIO  SE ENCUENTRAN EN COMISION.</t>
  </si>
  <si>
    <t xml:space="preserve">GUMOV </t>
  </si>
  <si>
    <t xml:space="preserve">SUMINISTRO GAS NATURAL VEHICULAR (GNV) PARA LOS VEHICULOS DE PROPIEDAD Y/O EN COMODATO DE LA POLICIA NACIONAL O POR LOS CUALES SEA LEGALMENTE RESPONSABLE, ASIGNADOS AL DEPARTAMENTO DE POLICIA CASANARE, Y A VEHICULOS DE OTRAS UNIDADES POLICIALES QUE POR NECESIDADES DEL SERVICIO SE ENCUENTRAN EN COMISION </t>
  </si>
  <si>
    <t>PN DECAS MIC 035 2018</t>
  </si>
  <si>
    <t xml:space="preserve">OCTUBRE </t>
  </si>
  <si>
    <t>21-8-10014-18</t>
  </si>
  <si>
    <t xml:space="preserve">RIVARCA S.A.S </t>
  </si>
  <si>
    <t>SUMINISTRO DE COMBUSTIBLE PARA EL PARQUE AUTOMOTOR DE PROPIEDAD Y/O COMODATO DE LA POLICIA NACIONAL O POR LOS CUALES SEA LEGALMENTE RESPONSABLE, ASIGNADOS AL DEPARTAMENTO DE POLICIA CASANARE, Y A VEHICULOS DE OTRAS UNIDADES POLICIALES QUE POR NECESIDADE</t>
  </si>
  <si>
    <t>PN DECAS SA SI 002 2018</t>
  </si>
  <si>
    <t xml:space="preserve">NOVIEMBRE </t>
  </si>
  <si>
    <t>SUMINISTRO DE ALIMENTOS CONCENTRADOS, SUPLEMENTOS VITAMINICOS, MEDICAMENTOS Y MATERIAL VETERINARIO PARA EL SOSTENIMIENTO DE LOS SEMOVIENTES EQUINOS, CANINOS DEL GRUPO DE CARABINEROS Y GUIAS CANINOS DEL DEPARTAMENTO DE CASANARE</t>
  </si>
  <si>
    <t>21-8-10016-18</t>
  </si>
  <si>
    <t xml:space="preserve">VETERINARIA EL RANCHO DE LES S.A.S </t>
  </si>
  <si>
    <t>LEIDY ESPERANZA RODRIGUEZ UMBARIBA</t>
  </si>
  <si>
    <t>PN DECAS MIC 044 2018</t>
  </si>
  <si>
    <t>PN DECAS SA MC 003 2018</t>
  </si>
  <si>
    <t>21-7-10017-18</t>
  </si>
  <si>
    <t xml:space="preserve">COMERCILIZADORA ANG S.A.S </t>
  </si>
  <si>
    <t>MANTENIMIENTO PREVENTIVO Y CORRECTIVO DEL EQUIPO DE TRANSPORTE AUTOMOTOR TERRESTRE, INCLUYENDO MANO DE OBRA Y SUMINISTRO DE REPUESTOS, LUBRICANTES Y GRASA ORIGINALES, PARA LAS MOTOS Y VEHICULOS DE PROPIEDAD Y/O …..ITEM 1 MOTOCICLETAS</t>
  </si>
  <si>
    <t xml:space="preserve">MANTENIMIENTO PREVENTIVO Y CORRECTIVO DEL EQUIPO DE TRANSPORTE AUTOMOTOR TERRESTRE, INCLUYENDO MANO DE OBRA Y SUMINISTRO DE REPUESTOS, LUBRICANTES Y GRASA ORIGINALES, PARA LAS MOTOS Y VEHICULOS DE PROPIEDAD Y/O …..ITEM 1  VEHICULOS </t>
  </si>
  <si>
    <t>21-7-10018-18</t>
  </si>
  <si>
    <t>13644484-2</t>
  </si>
  <si>
    <t>EL CHUCURI CENTRO DE SERVICIOS MANTEMIENTO AUTOMOTRIZ(SERTIECA)</t>
  </si>
  <si>
    <t>GREGORIO ANGEL CAMARGO C.C 74.859.603 de Yopal-Casanare</t>
  </si>
  <si>
    <t xml:space="preserve">WILLIAM ARTURO SANCHEZ HERNANDEZ C.C 13.644.484 de San Vicente de Chucuri-Norte de santander </t>
  </si>
  <si>
    <t xml:space="preserve">PRESTACION DE SERVICIOS DE ALIMENTOS, REFRIGERIOS PARA EL DESARROLLO DE ACTIVIDADES PREVENTIVAS Y DISUASIVAS DEL DEPARTAMENTO EN EL MARCO DE LAS OPERACIONES DEL PLAN NAVIDAD, DE LA POLICIA NACIONAL DE COLOMBIA EN EL DEPARTAMENTO DE POLICIA CASANARE. </t>
  </si>
  <si>
    <t>BLANCA DORIS MUÑOZ AGUIRRE  C.C. 51.820.659 de Bogota</t>
  </si>
  <si>
    <t xml:space="preserve"> 02/12/20018</t>
  </si>
  <si>
    <t xml:space="preserve">LOGISTICA </t>
  </si>
  <si>
    <t>PN DECAS MC 55  2018</t>
  </si>
  <si>
    <t xml:space="preserve">DICIEMBRE </t>
  </si>
  <si>
    <t xml:space="preserve">DICIMEBRE </t>
  </si>
  <si>
    <t>21-7-10019-18</t>
  </si>
  <si>
    <t>MANTENIMIENTO PREVENTIVO Y/O CORRECTIVO A TODO COSTO DE LOS EQUIPOS DE AIRE ACONDICIONADOS Y EQUIPOS DE REFRIGERACION DE LA BASE DEL COMANDO DEL DEPARTAMENTO DE POLICIA CASANARE</t>
  </si>
  <si>
    <t xml:space="preserve">YERTIH ARLEY SOTO COBOS  C.C 1.090.420.613 de Cucuta </t>
  </si>
  <si>
    <t xml:space="preserve">ELECTR&amp;CONTROLES Y SERVICIOS S.A.S </t>
  </si>
  <si>
    <t>900789292-5</t>
  </si>
  <si>
    <t>21-7-10020-18</t>
  </si>
  <si>
    <t>PN DECAS MC 58  2018</t>
  </si>
  <si>
    <t xml:space="preserve">ADQUISION DE REGALOS NAVIDEÑOS PARA LOS HIJOS DEL PERSONAL UNIFORMADOS Y NO UNIFORMADOS AFILIADOS A LOS SERVICIOS DE BIENESTAR SOCIAL EN EL DEPARTAMENTO DE POLICIA CASANARE </t>
  </si>
  <si>
    <t xml:space="preserve">SANIDAD </t>
  </si>
  <si>
    <t>ORDEN DE COMPRA 34105</t>
  </si>
  <si>
    <t>DICIEMBRE</t>
  </si>
  <si>
    <t xml:space="preserve">COLOMBIANA DE COMERCIO S.A Y/O ALKOSTO S.A </t>
  </si>
  <si>
    <t xml:space="preserve">JHON LAGUNA </t>
  </si>
  <si>
    <t>21-8-10015-18                                                           CO1.PCCNTR.630316</t>
  </si>
  <si>
    <t>¿el proveedor cumplió en forma oportuna de acuerdo a lo establecido en las cláusulas del contrato ?</t>
  </si>
  <si>
    <t>¿Los bienes suministrados por los proveedores cumplieron con los requisitos de calidad establecidos en las especificaciones técnicas?</t>
  </si>
  <si>
    <t>60%                                    INCUMPLIMIENTO DEL CONTRATO MEDIANTE RESOLUCION 233 DEL 21/09/2018</t>
  </si>
  <si>
    <t>84% INCUMPLIMIENTO DEL CONTRATO MEDIANTE RESOLUCION 065 DEL 01/04/2019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</si>
</sst>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</cellStyleXfs>
  <cellXfs count="14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44" fontId="0" fillId="3" borderId="0" xfId="0" applyNumberForma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44" fontId="2" fillId="4" borderId="0" xfId="1" applyFont="1" applyFill="1" applyBorder="1" applyAlignment="1">
      <alignment horizontal="center"/>
    </xf>
    <xf numFmtId="10" fontId="0" fillId="3" borderId="0" xfId="2" applyNumberFormat="1" applyFont="1" applyFill="1" applyBorder="1" applyAlignment="1">
      <alignment horizontal="center"/>
    </xf>
    <xf numFmtId="10" fontId="2" fillId="4" borderId="0" xfId="1" applyNumberFormat="1" applyFon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44" fontId="0" fillId="0" borderId="0" xfId="1" applyFont="1"/>
    <xf numFmtId="164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0" fillId="3" borderId="0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NumberFormat="1" applyAlignment="1">
      <alignment horizontal="center"/>
    </xf>
    <xf numFmtId="0" fontId="2" fillId="4" borderId="0" xfId="0" applyFont="1" applyFill="1" applyAlignment="1">
      <alignment horizontal="left"/>
    </xf>
    <xf numFmtId="165" fontId="2" fillId="4" borderId="0" xfId="0" applyNumberFormat="1" applyFont="1" applyFill="1"/>
    <xf numFmtId="0" fontId="2" fillId="4" borderId="0" xfId="0" applyFont="1" applyFill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vertical="center"/>
    </xf>
    <xf numFmtId="44" fontId="0" fillId="3" borderId="0" xfId="0" applyNumberFormat="1" applyFill="1" applyBorder="1" applyAlignment="1">
      <alignment vertical="center"/>
    </xf>
    <xf numFmtId="0" fontId="0" fillId="0" borderId="3" xfId="0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14" fontId="14" fillId="0" borderId="1" xfId="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3" borderId="1" xfId="4" applyFont="1" applyFill="1" applyBorder="1" applyAlignment="1">
      <alignment horizontal="left" vertical="center" wrapText="1"/>
    </xf>
    <xf numFmtId="0" fontId="13" fillId="7" borderId="1" xfId="4" applyFont="1" applyFill="1" applyBorder="1" applyAlignment="1">
      <alignment horizontal="center" vertical="center" wrapText="1"/>
    </xf>
    <xf numFmtId="0" fontId="3" fillId="0" borderId="0" xfId="0" applyFont="1"/>
    <xf numFmtId="0" fontId="14" fillId="5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4" fontId="14" fillId="0" borderId="1" xfId="1" applyFont="1" applyBorder="1" applyAlignment="1">
      <alignment horizontal="center" vertical="center"/>
    </xf>
    <xf numFmtId="44" fontId="14" fillId="5" borderId="1" xfId="1" applyFont="1" applyFill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/>
    </xf>
    <xf numFmtId="44" fontId="14" fillId="0" borderId="1" xfId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44" fontId="14" fillId="5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/>
    </xf>
    <xf numFmtId="44" fontId="14" fillId="3" borderId="1" xfId="1" applyFont="1" applyFill="1" applyBorder="1" applyAlignment="1">
      <alignment horizontal="center" vertical="center"/>
    </xf>
    <xf numFmtId="44" fontId="14" fillId="6" borderId="1" xfId="1" applyFont="1" applyFill="1" applyBorder="1" applyAlignment="1">
      <alignment horizontal="center" vertical="center"/>
    </xf>
    <xf numFmtId="0" fontId="16" fillId="0" borderId="0" xfId="0" applyFont="1" applyAlignment="1"/>
    <xf numFmtId="1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3" borderId="1" xfId="1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44" fontId="16" fillId="0" borderId="1" xfId="1" applyFont="1" applyFill="1" applyBorder="1" applyAlignment="1">
      <alignment vertical="center"/>
    </xf>
    <xf numFmtId="44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44" fontId="16" fillId="0" borderId="1" xfId="1" applyFont="1" applyFill="1" applyBorder="1" applyAlignment="1">
      <alignment horizontal="center" vertical="center"/>
    </xf>
    <xf numFmtId="0" fontId="16" fillId="0" borderId="0" xfId="0" applyFont="1" applyFill="1" applyAlignment="1"/>
    <xf numFmtId="44" fontId="14" fillId="0" borderId="1" xfId="1" applyNumberFormat="1" applyFont="1" applyBorder="1" applyAlignment="1">
      <alignment horizontal="center" vertical="center"/>
    </xf>
    <xf numFmtId="44" fontId="14" fillId="3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left" vertical="center" wrapText="1"/>
    </xf>
    <xf numFmtId="0" fontId="16" fillId="0" borderId="0" xfId="0" applyFont="1"/>
    <xf numFmtId="44" fontId="0" fillId="0" borderId="1" xfId="1" applyFont="1" applyFill="1" applyBorder="1" applyAlignment="1">
      <alignment wrapText="1"/>
    </xf>
    <xf numFmtId="44" fontId="0" fillId="0" borderId="1" xfId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44" fontId="16" fillId="0" borderId="1" xfId="1" applyFont="1" applyFill="1" applyBorder="1" applyAlignment="1">
      <alignment horizontal="left" wrapText="1"/>
    </xf>
    <xf numFmtId="44" fontId="0" fillId="0" borderId="1" xfId="1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44" fontId="14" fillId="0" borderId="1" xfId="1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44" fontId="17" fillId="0" borderId="1" xfId="1" applyFont="1" applyFill="1" applyBorder="1" applyAlignment="1">
      <alignment horizontal="left" wrapText="1"/>
    </xf>
    <xf numFmtId="14" fontId="0" fillId="0" borderId="1" xfId="0" applyNumberFormat="1" applyFont="1" applyFill="1" applyBorder="1" applyAlignment="1">
      <alignment horizontal="center" vertical="center"/>
    </xf>
    <xf numFmtId="44" fontId="17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/>
    </xf>
    <xf numFmtId="0" fontId="0" fillId="0" borderId="1" xfId="0" applyFill="1" applyBorder="1" applyAlignment="1"/>
    <xf numFmtId="44" fontId="0" fillId="0" borderId="4" xfId="1" applyFont="1" applyFill="1" applyBorder="1" applyAlignment="1"/>
    <xf numFmtId="44" fontId="0" fillId="5" borderId="4" xfId="1" applyFont="1" applyFill="1" applyBorder="1" applyAlignment="1"/>
    <xf numFmtId="44" fontId="0" fillId="5" borderId="1" xfId="1" applyFont="1" applyFill="1" applyBorder="1" applyAlignment="1"/>
    <xf numFmtId="44" fontId="0" fillId="0" borderId="1" xfId="1" applyFont="1" applyFill="1" applyBorder="1" applyAlignment="1"/>
    <xf numFmtId="14" fontId="19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44" fontId="21" fillId="8" borderId="1" xfId="0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/>
    <xf numFmtId="0" fontId="0" fillId="7" borderId="1" xfId="0" applyFill="1" applyBorder="1" applyAlignment="1"/>
    <xf numFmtId="0" fontId="16" fillId="0" borderId="1" xfId="0" applyFont="1" applyFill="1" applyBorder="1" applyAlignment="1">
      <alignment horizont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/>
    <xf numFmtId="164" fontId="0" fillId="5" borderId="1" xfId="0" applyNumberFormat="1" applyFill="1" applyBorder="1" applyAlignment="1">
      <alignment horizontal="center"/>
    </xf>
    <xf numFmtId="44" fontId="0" fillId="5" borderId="1" xfId="0" applyNumberFormat="1" applyFill="1" applyBorder="1" applyAlignment="1"/>
    <xf numFmtId="0" fontId="3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4" fontId="0" fillId="0" borderId="1" xfId="0" applyNumberFormat="1" applyFill="1" applyBorder="1" applyAlignment="1"/>
    <xf numFmtId="14" fontId="0" fillId="0" borderId="1" xfId="1" applyNumberFormat="1" applyFont="1" applyFill="1" applyBorder="1" applyAlignment="1">
      <alignment horizontal="center" vertical="center"/>
    </xf>
    <xf numFmtId="44" fontId="1" fillId="3" borderId="1" xfId="0" applyNumberFormat="1" applyFont="1" applyFill="1" applyBorder="1" applyAlignment="1">
      <alignment horizontal="center" vertical="center"/>
    </xf>
    <xf numFmtId="44" fontId="0" fillId="6" borderId="1" xfId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9" fontId="0" fillId="7" borderId="1" xfId="0" applyNumberFormat="1" applyFill="1" applyBorder="1" applyAlignment="1"/>
    <xf numFmtId="0" fontId="0" fillId="7" borderId="1" xfId="0" applyFill="1" applyBorder="1" applyAlignment="1">
      <alignment horizontal="center" wrapText="1"/>
    </xf>
    <xf numFmtId="14" fontId="14" fillId="9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5" fillId="3" borderId="0" xfId="3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9" fontId="0" fillId="7" borderId="1" xfId="0" applyNumberFormat="1" applyFill="1" applyBorder="1" applyAlignment="1">
      <alignment wrapText="1"/>
    </xf>
  </cellXfs>
  <cellStyles count="5">
    <cellStyle name="Hipervínculo" xfId="3" builtinId="8"/>
    <cellStyle name="Moneda" xfId="1" builtinId="4"/>
    <cellStyle name="Normal" xfId="0" builtinId="0"/>
    <cellStyle name="Normal 2 10 2" xfId="4" xr:uid="{2A89CC17-C18B-494B-9E42-BBA423A6F8B6}"/>
    <cellStyle name="Porcentaje" xfId="2" builtinId="5"/>
  </cellStyles>
  <dxfs count="74"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alignment horizontal="center" readingOrder="0"/>
    </dxf>
    <dxf>
      <alignment horizontal="center" readingOrder="0"/>
    </dxf>
    <dxf>
      <numFmt numFmtId="34" formatCode="_-&quot;$&quot;* #,##0.00_-;\-&quot;$&quot;* #,##0.00_-;_-&quot;$&quot;* &quot;-&quot;??_-;_-@_-"/>
    </dxf>
    <dxf>
      <alignment horizontal="center" readingOrder="0"/>
    </dxf>
    <dxf>
      <alignment horizontal="center" readingOrder="0"/>
    </dxf>
    <dxf>
      <numFmt numFmtId="165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alignment horizontal="center" readingOrder="0"/>
    </dxf>
    <dxf>
      <alignment horizontal="center" readingOrder="0"/>
    </dxf>
    <dxf>
      <numFmt numFmtId="34" formatCode="_-&quot;$&quot;* #,##0.00_-;\-&quot;$&quot;* #,##0.00_-;_-&quot;$&quot;* &quot;-&quot;??_-;_-@_-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  <fill>
        <patternFill patternType="solid">
          <fgColor indexed="64"/>
          <bgColor theme="3" tint="-0.499984740745262"/>
        </patternFill>
      </fill>
    </dxf>
    <dxf>
      <numFmt numFmtId="34" formatCode="_-&quot;$&quot;* #,##0.00_-;\-&quot;$&quot;* #,##0.00_-;_-&quot;$&quot;* &quot;-&quot;??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numFmt numFmtId="34" formatCode="_-&quot;$&quot;* #,##0.00_-;\-&quot;$&quot;* #,##0.00_-;_-&quot;$&quot;* &quot;-&quot;??_-;_-@_-"/>
    </dxf>
    <dxf>
      <numFmt numFmtId="165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center" readingOrder="0"/>
    </dxf>
    <dxf>
      <alignment horizontal="center" readingOrder="0"/>
    </dxf>
    <dxf>
      <alignment horizontal="center" readingOrder="0"/>
    </dxf>
    <dxf>
      <numFmt numFmtId="165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numFmt numFmtId="34" formatCode="_-&quot;$&quot;* #,##0.00_-;\-&quot;$&quot;* #,##0.00_-;_-&quot;$&quot;* &quot;-&quot;??_-;_-@_-"/>
    </dxf>
    <dxf>
      <numFmt numFmtId="165" formatCode="&quot;$&quot;#,##0.0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  <dxf>
      <font>
        <b/>
        <color theme="0"/>
      </font>
      <fill>
        <patternFill patternType="solid">
          <fgColor indexed="64"/>
          <bgColor theme="3" tint="-0.499984740745262"/>
        </patternFill>
      </fill>
      <alignment horizontal="lef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427983539094645E-2"/>
          <c:y val="6.4753480209862463E-2"/>
          <c:w val="0.92757201646090537"/>
          <c:h val="0.8704930395802751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874-4339-8A17-8DCB4215B10B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874-4339-8A17-8DCB4215B10B}"/>
              </c:ext>
            </c:extLst>
          </c:dPt>
          <c:dLbls>
            <c:dLbl>
              <c:idx val="0"/>
              <c:layout>
                <c:manualLayout>
                  <c:x val="0.31491798710346391"/>
                  <c:y val="5.1508450166936046E-2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74-4339-8A17-8DCB4215B10B}"/>
                </c:ext>
              </c:extLst>
            </c:dLbl>
            <c:dLbl>
              <c:idx val="1"/>
              <c:layout>
                <c:manualLayout>
                  <c:x val="0.36678254107125485"/>
                  <c:y val="-0.14522439607066426"/>
                </c:manualLayout>
              </c:layout>
              <c:spPr>
                <a:solidFill>
                  <a:sysClr val="window" lastClr="FFFFFF">
                    <a:alpha val="90000"/>
                  </a:sysClr>
                </a:solidFill>
                <a:ln w="12700" cap="flat" cmpd="sng" algn="ctr">
                  <a:solidFill>
                    <a:srgbClr val="4F81BD"/>
                  </a:solidFill>
                  <a:round/>
                </a:ln>
                <a:effectLst>
                  <a:outerShdw blurRad="50800" dist="38100" dir="2700000" algn="tl" rotWithShape="0">
                    <a:srgbClr val="4F81BD">
                      <a:lumMod val="75000"/>
                      <a:alpha val="40000"/>
                    </a:srgb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27173455169954"/>
                      <c:h val="7.77338414109862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874-4339-8A17-8DCB4215B10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'FICHA PRESEN'!$B$20:$C$20</c:f>
              <c:strCache>
                <c:ptCount val="2"/>
                <c:pt idx="0">
                  <c:v>% DE AVANCE </c:v>
                </c:pt>
                <c:pt idx="1">
                  <c:v>% PDTE</c:v>
                </c:pt>
              </c:strCache>
            </c:strRef>
          </c:cat>
          <c:val>
            <c:numRef>
              <c:f>'FICHA PRESEN'!$B$21:$C$21</c:f>
              <c:numCache>
                <c:formatCode>0.00%</c:formatCode>
                <c:ptCount val="2"/>
                <c:pt idx="0">
                  <c:v>1.6412995898652529</c:v>
                </c:pt>
                <c:pt idx="1">
                  <c:v>-0.64129958986525293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74-4339-8A17-8DCB4215B10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1552574</xdr:colOff>
      <xdr:row>12</xdr:row>
      <xdr:rowOff>150813</xdr:rowOff>
    </xdr:from>
    <xdr:to>
      <xdr:col>5</xdr:col>
      <xdr:colOff>1809749</xdr:colOff>
      <xdr:row>22</xdr:row>
      <xdr:rowOff>31750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A&#209;O%202018/CUMPLIMIENTOS%202018/MATRIZ%20CONTRACTUAL%20GESTION%20Y%20SANIDAD/MATRIZ%20CONTRACTUAL/12.DICIEMBRE/SANIDAD/ejecucion-contratos-arsan-decas-3112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CHA PRESEN"/>
      <sheetName val="CONVENCIONES"/>
      <sheetName val="UNIDADES"/>
    </sheetNames>
    <sheetDataSet>
      <sheetData sheetId="0"/>
      <sheetData sheetId="1"/>
      <sheetData sheetId="2"/>
      <sheetData sheetId="3">
        <row r="1">
          <cell r="A1" t="str">
            <v>SIGLA</v>
          </cell>
          <cell r="B1" t="str">
            <v>No. Contratacion</v>
          </cell>
          <cell r="C1" t="str">
            <v>SIGLA</v>
          </cell>
          <cell r="D1" t="str">
            <v>REGIÓNAL</v>
          </cell>
          <cell r="E1" t="str">
            <v>NOMBRE</v>
          </cell>
          <cell r="F1" t="str">
            <v>NIT</v>
          </cell>
        </row>
        <row r="2">
          <cell r="A2" t="str">
            <v>DIPON</v>
          </cell>
          <cell r="B2">
            <v>1</v>
          </cell>
          <cell r="C2" t="str">
            <v>DIPON</v>
          </cell>
          <cell r="D2" t="str">
            <v>REGIÓN 9</v>
          </cell>
          <cell r="E2" t="str">
            <v>DIRECCIÓN GENERAL DE LA POLICÍA NACIONAL</v>
          </cell>
          <cell r="F2" t="str">
            <v>800141397-5</v>
          </cell>
        </row>
        <row r="3">
          <cell r="A3" t="str">
            <v>DIRAN</v>
          </cell>
          <cell r="B3">
            <v>2</v>
          </cell>
          <cell r="C3" t="str">
            <v>DIRAN</v>
          </cell>
          <cell r="D3" t="str">
            <v>REGIÓN 9</v>
          </cell>
          <cell r="E3" t="str">
            <v>DIRECCIÓN DE ANTINARCÓTICOS</v>
          </cell>
          <cell r="F3" t="str">
            <v>800141379-2</v>
          </cell>
        </row>
        <row r="4">
          <cell r="A4" t="str">
            <v>DIJIN</v>
          </cell>
          <cell r="B4">
            <v>3</v>
          </cell>
          <cell r="C4" t="str">
            <v>DIJIN</v>
          </cell>
          <cell r="D4" t="str">
            <v>REGIÓN 9</v>
          </cell>
          <cell r="E4" t="str">
            <v>DIRECCIÓN DE INVESTIGACIÓN CRIMINAL E INTERPOL</v>
          </cell>
          <cell r="F4" t="str">
            <v>800141338-0</v>
          </cell>
        </row>
        <row r="5">
          <cell r="A5" t="str">
            <v>DIPOL</v>
          </cell>
          <cell r="B5">
            <v>4</v>
          </cell>
          <cell r="C5" t="str">
            <v>DIPOL</v>
          </cell>
          <cell r="D5" t="str">
            <v>REGIÓN 9</v>
          </cell>
          <cell r="E5" t="str">
            <v>DIRECCIÓN INTELIGENCIA POLICIAL</v>
          </cell>
          <cell r="F5" t="str">
            <v>830000097-5</v>
          </cell>
        </row>
        <row r="6">
          <cell r="A6" t="str">
            <v>DIASE</v>
          </cell>
          <cell r="B6">
            <v>5</v>
          </cell>
          <cell r="C6" t="str">
            <v>DIASE</v>
          </cell>
          <cell r="D6" t="str">
            <v>REGIÓN 9</v>
          </cell>
          <cell r="E6" t="str">
            <v>DIRECCIÓN ANTISECUESTRO Y ANTIEXTORSIÓN</v>
          </cell>
          <cell r="F6" t="str">
            <v>830053227-3</v>
          </cell>
        </row>
        <row r="7">
          <cell r="A7" t="str">
            <v>DIRAF</v>
          </cell>
          <cell r="B7">
            <v>6</v>
          </cell>
          <cell r="C7" t="str">
            <v>DIRAF</v>
          </cell>
          <cell r="D7" t="str">
            <v>REGIÓN 9</v>
          </cell>
          <cell r="E7" t="str">
            <v>DIRECCIÓN ADMINISTRATIVA Y FINANCIERA</v>
          </cell>
          <cell r="F7" t="str">
            <v>800141397-5</v>
          </cell>
        </row>
        <row r="8">
          <cell r="A8" t="str">
            <v>DIBIE</v>
          </cell>
          <cell r="B8">
            <v>8</v>
          </cell>
          <cell r="C8" t="str">
            <v>DIBIE</v>
          </cell>
          <cell r="D8" t="str">
            <v>REGIÓN 9</v>
          </cell>
          <cell r="E8" t="str">
            <v>DIRECCIÓN DE BIENESTAR SOCIAL</v>
          </cell>
          <cell r="F8" t="str">
            <v>830042321-0</v>
          </cell>
        </row>
        <row r="9">
          <cell r="A9" t="str">
            <v>MEBOG</v>
          </cell>
          <cell r="B9">
            <v>10</v>
          </cell>
          <cell r="C9" t="str">
            <v>MEBOG</v>
          </cell>
          <cell r="D9" t="str">
            <v>REGIÓN 1</v>
          </cell>
          <cell r="E9" t="str">
            <v>POLICÍA METROPOLITANA DE BOGOTÁ</v>
          </cell>
          <cell r="F9" t="str">
            <v>800140603-3</v>
          </cell>
        </row>
        <row r="10">
          <cell r="A10" t="str">
            <v>MECAL</v>
          </cell>
          <cell r="B10">
            <v>11</v>
          </cell>
          <cell r="C10" t="str">
            <v>MECAL</v>
          </cell>
          <cell r="D10" t="str">
            <v>REGIÓN 4</v>
          </cell>
          <cell r="E10" t="str">
            <v>POLICÍA METROPOLITANA DE SANTIAGO DE CALI</v>
          </cell>
          <cell r="F10" t="str">
            <v>800140625-5</v>
          </cell>
        </row>
        <row r="11">
          <cell r="A11" t="str">
            <v>MEVAL</v>
          </cell>
          <cell r="B11">
            <v>12</v>
          </cell>
          <cell r="C11" t="str">
            <v>MEVAL</v>
          </cell>
          <cell r="D11" t="str">
            <v>REGIÓN 6</v>
          </cell>
          <cell r="E11" t="str">
            <v>POLICÍA METROPOLITANA DEL VALLE DE ABURRA</v>
          </cell>
          <cell r="F11" t="str">
            <v>800140985-1</v>
          </cell>
        </row>
        <row r="12">
          <cell r="A12" t="str">
            <v>DEAMA</v>
          </cell>
          <cell r="B12">
            <v>13</v>
          </cell>
          <cell r="C12" t="str">
            <v>DEAMA</v>
          </cell>
          <cell r="D12" t="str">
            <v>REGIÓN 1</v>
          </cell>
          <cell r="E12" t="str">
            <v>DEPARTAMENTO DE POLICÍA AMAZONAS</v>
          </cell>
          <cell r="F12" t="str">
            <v>800140601-9</v>
          </cell>
        </row>
        <row r="13">
          <cell r="A13" t="str">
            <v>DEARA</v>
          </cell>
          <cell r="B13">
            <v>15</v>
          </cell>
          <cell r="C13" t="str">
            <v>DEARA</v>
          </cell>
          <cell r="D13" t="str">
            <v>REGIÓN 5</v>
          </cell>
          <cell r="E13" t="str">
            <v>DEPARTAMENTO DE POLICÍA ARAUCA</v>
          </cell>
          <cell r="F13" t="str">
            <v>800140602-6</v>
          </cell>
        </row>
        <row r="14">
          <cell r="A14" t="str">
            <v>DECAQ</v>
          </cell>
          <cell r="B14">
            <v>20</v>
          </cell>
          <cell r="C14" t="str">
            <v>DECAQ</v>
          </cell>
          <cell r="D14" t="str">
            <v>REGIÓN 2</v>
          </cell>
          <cell r="E14" t="str">
            <v>DEPARTAMENTO DE POLICÍA CAQUETÁ</v>
          </cell>
          <cell r="F14" t="str">
            <v>800140607-2</v>
          </cell>
        </row>
        <row r="15">
          <cell r="A15" t="str">
            <v>DECAS</v>
          </cell>
          <cell r="B15">
            <v>21</v>
          </cell>
          <cell r="C15" t="str">
            <v>DECAS</v>
          </cell>
          <cell r="D15" t="str">
            <v>REGIÓN 7</v>
          </cell>
          <cell r="E15" t="str">
            <v>DEPARTAMENTO DE POLICÍA CASANARE</v>
          </cell>
          <cell r="F15" t="str">
            <v>844000016-1</v>
          </cell>
        </row>
        <row r="16">
          <cell r="A16" t="str">
            <v>DECES</v>
          </cell>
          <cell r="B16">
            <v>23</v>
          </cell>
          <cell r="C16" t="str">
            <v>DECES</v>
          </cell>
          <cell r="D16" t="str">
            <v>REGIÓN 8</v>
          </cell>
          <cell r="E16" t="str">
            <v>DEPARTAMENTO DE POLICÍA CESAR</v>
          </cell>
          <cell r="F16" t="str">
            <v>800140623-0</v>
          </cell>
        </row>
        <row r="17">
          <cell r="A17" t="str">
            <v>DECHO</v>
          </cell>
          <cell r="B17">
            <v>24</v>
          </cell>
          <cell r="C17" t="str">
            <v>DECHO</v>
          </cell>
          <cell r="D17" t="str">
            <v>REGIÓN 6</v>
          </cell>
          <cell r="E17" t="str">
            <v>DEPARTAMENTO DE POLICÍA CHOCÓ</v>
          </cell>
          <cell r="F17" t="str">
            <v>800140951-1</v>
          </cell>
        </row>
        <row r="18">
          <cell r="A18" t="str">
            <v>DECUN</v>
          </cell>
          <cell r="B18">
            <v>26</v>
          </cell>
          <cell r="C18" t="str">
            <v>DECUN</v>
          </cell>
          <cell r="D18" t="str">
            <v>REGIÓN 1</v>
          </cell>
          <cell r="E18" t="str">
            <v>DEPARTAMENTO DE POLICÍA CUNDINAMARCA</v>
          </cell>
          <cell r="F18" t="str">
            <v>800140611-2</v>
          </cell>
        </row>
        <row r="19">
          <cell r="A19" t="str">
            <v>DEGUA</v>
          </cell>
          <cell r="B19">
            <v>27</v>
          </cell>
          <cell r="C19" t="str">
            <v>DEGUA</v>
          </cell>
          <cell r="D19" t="str">
            <v>REGIÓN 8</v>
          </cell>
          <cell r="E19" t="str">
            <v>DEPARTAMENTO DE POLICÍA GUAJIRA</v>
          </cell>
          <cell r="F19" t="str">
            <v>800140974-0</v>
          </cell>
        </row>
        <row r="20">
          <cell r="A20" t="str">
            <v>DEGUN</v>
          </cell>
          <cell r="B20">
            <v>28</v>
          </cell>
          <cell r="C20" t="str">
            <v>DEGUN</v>
          </cell>
          <cell r="D20" t="str">
            <v>REGIÓN 7</v>
          </cell>
          <cell r="E20" t="str">
            <v>DEPARTAMENTO DE POLICÍA GUAINÍA</v>
          </cell>
          <cell r="F20" t="str">
            <v>843000047-4</v>
          </cell>
        </row>
        <row r="21">
          <cell r="A21" t="str">
            <v>DEGUV</v>
          </cell>
          <cell r="B21">
            <v>29</v>
          </cell>
          <cell r="C21" t="str">
            <v>DEGUV</v>
          </cell>
          <cell r="D21" t="str">
            <v>REGIÓN 7</v>
          </cell>
          <cell r="E21" t="str">
            <v>DEPARTAMENTO DE POLICÍA GUAVIARE</v>
          </cell>
          <cell r="F21" t="str">
            <v>800252722-2</v>
          </cell>
        </row>
        <row r="22">
          <cell r="A22" t="str">
            <v>DEPUY</v>
          </cell>
          <cell r="B22">
            <v>34</v>
          </cell>
          <cell r="C22" t="str">
            <v>DEPUY</v>
          </cell>
          <cell r="D22" t="str">
            <v>REGIÓN 2</v>
          </cell>
          <cell r="E22" t="str">
            <v>DEPARTAMENTO DE POLICÍA PUTUMAYO</v>
          </cell>
          <cell r="F22" t="str">
            <v>800141203-5</v>
          </cell>
        </row>
        <row r="23">
          <cell r="A23" t="str">
            <v>DEQUI</v>
          </cell>
          <cell r="B23">
            <v>35</v>
          </cell>
          <cell r="C23" t="str">
            <v>DEQUI</v>
          </cell>
          <cell r="D23" t="str">
            <v>REGIÓN 3</v>
          </cell>
          <cell r="E23" t="str">
            <v>DEPARTAMENTO DE POLICÍA QUINDÍO</v>
          </cell>
          <cell r="F23" t="str">
            <v>800140986-9</v>
          </cell>
        </row>
        <row r="24">
          <cell r="A24" t="str">
            <v>DESAP</v>
          </cell>
          <cell r="B24">
            <v>38</v>
          </cell>
          <cell r="C24" t="str">
            <v>DESAP</v>
          </cell>
          <cell r="D24" t="str">
            <v>REGIÓN 1</v>
          </cell>
          <cell r="E24" t="str">
            <v>DEPARTAMENTO DE POLICÍA SAN ANDRÉS Y PROVIDENCIA</v>
          </cell>
          <cell r="F24" t="str">
            <v>800141053-7</v>
          </cell>
        </row>
        <row r="25">
          <cell r="A25" t="str">
            <v>DESUC</v>
          </cell>
          <cell r="B25">
            <v>39</v>
          </cell>
          <cell r="C25" t="str">
            <v>DESUC</v>
          </cell>
          <cell r="D25" t="str">
            <v>REGIÓN 8</v>
          </cell>
          <cell r="E25" t="str">
            <v>DEPARTAMENTO DE POLICÍA SUCRE</v>
          </cell>
          <cell r="F25" t="str">
            <v>800141100-5</v>
          </cell>
        </row>
        <row r="26">
          <cell r="A26" t="str">
            <v>DEURA</v>
          </cell>
          <cell r="B26">
            <v>42</v>
          </cell>
          <cell r="C26" t="str">
            <v>DEURA</v>
          </cell>
          <cell r="D26" t="str">
            <v>REGIÓN 6</v>
          </cell>
          <cell r="E26" t="str">
            <v>DEPARTAMENTO DE POLICÍA URABÁ</v>
          </cell>
          <cell r="F26" t="str">
            <v>800141103-7</v>
          </cell>
        </row>
        <row r="27">
          <cell r="A27" t="str">
            <v>DEVIC</v>
          </cell>
          <cell r="B27">
            <v>44</v>
          </cell>
          <cell r="C27" t="str">
            <v>DEVIC</v>
          </cell>
          <cell r="D27" t="str">
            <v>REGIÓN 7</v>
          </cell>
          <cell r="E27" t="str">
            <v>DEPARTAMENTO DE POLICÍA VICHADA</v>
          </cell>
          <cell r="F27" t="str">
            <v>842000015-5</v>
          </cell>
        </row>
        <row r="28">
          <cell r="A28" t="str">
            <v>ESPOL</v>
          </cell>
          <cell r="B28">
            <v>45</v>
          </cell>
          <cell r="C28" t="str">
            <v>ESPOL</v>
          </cell>
          <cell r="D28" t="str">
            <v>REGIÓN 1</v>
          </cell>
          <cell r="E28" t="str">
            <v>ESCUELA DE POSTGRADOS DE POLICÍA "MIGUEL ANTONIO LLERAS"</v>
          </cell>
          <cell r="F28" t="str">
            <v>800226849-9</v>
          </cell>
        </row>
        <row r="29">
          <cell r="A29" t="str">
            <v>ESBOL</v>
          </cell>
          <cell r="B29">
            <v>48</v>
          </cell>
          <cell r="C29" t="str">
            <v>ESBOL</v>
          </cell>
          <cell r="D29" t="str">
            <v>REGIÓN 4</v>
          </cell>
          <cell r="E29" t="str">
            <v>ESCUELA DE POLICÍA SIMÓN BOLÍVAR</v>
          </cell>
          <cell r="F29" t="str">
            <v>800141336-6</v>
          </cell>
        </row>
        <row r="30">
          <cell r="A30" t="str">
            <v>ESCAR</v>
          </cell>
          <cell r="B30">
            <v>49</v>
          </cell>
          <cell r="C30" t="str">
            <v>ESCAR</v>
          </cell>
          <cell r="D30" t="str">
            <v>REGIÓN 1</v>
          </cell>
          <cell r="E30" t="str">
            <v>ESCUELA DE NACIONAL DE CARABINEROS</v>
          </cell>
          <cell r="F30" t="str">
            <v>804003971-7</v>
          </cell>
        </row>
        <row r="31">
          <cell r="A31" t="str">
            <v>ESJIM</v>
          </cell>
          <cell r="B31">
            <v>53</v>
          </cell>
          <cell r="C31" t="str">
            <v>ESJIM</v>
          </cell>
          <cell r="D31" t="str">
            <v>REGIÓN 1</v>
          </cell>
          <cell r="E31" t="str">
            <v>ESCUELA DE SUBOFICIALES Y NIVEL EJECUTIVO GONZALO JIMÉNEZ DE QUESADA</v>
          </cell>
          <cell r="F31" t="str">
            <v>800141206-7</v>
          </cell>
        </row>
        <row r="32">
          <cell r="A32" t="str">
            <v>ESSUM</v>
          </cell>
          <cell r="B32">
            <v>57</v>
          </cell>
          <cell r="C32" t="str">
            <v>ESSUM</v>
          </cell>
          <cell r="D32" t="str">
            <v>REGIÓN 1</v>
          </cell>
          <cell r="E32" t="str">
            <v>ESCUELA DE PATRULLEROS PROVINCIA DE SUMAPAZ</v>
          </cell>
          <cell r="F32" t="str">
            <v>808000859-0</v>
          </cell>
        </row>
        <row r="33">
          <cell r="A33" t="str">
            <v>ESVEL</v>
          </cell>
          <cell r="B33">
            <v>58</v>
          </cell>
          <cell r="C33" t="str">
            <v>ESVEL</v>
          </cell>
          <cell r="D33" t="str">
            <v>REGIÓN 5</v>
          </cell>
          <cell r="E33" t="str">
            <v>ESCUELA DE CARABINEROS PROVINCIA DE VÉLEZ</v>
          </cell>
          <cell r="F33" t="str">
            <v>804003971-7</v>
          </cell>
        </row>
        <row r="34">
          <cell r="A34" t="str">
            <v>ESAVI</v>
          </cell>
          <cell r="B34">
            <v>59</v>
          </cell>
          <cell r="C34" t="str">
            <v>ESAVI</v>
          </cell>
          <cell r="D34" t="str">
            <v>REGIÓN 2</v>
          </cell>
          <cell r="E34" t="str">
            <v>ESCUELA DE AVIACIÓN POLICIAL</v>
          </cell>
          <cell r="F34" t="str">
            <v>809010745-6</v>
          </cell>
        </row>
        <row r="35">
          <cell r="A35" t="str">
            <v>DITRA</v>
          </cell>
          <cell r="B35">
            <v>64</v>
          </cell>
          <cell r="C35" t="str">
            <v>DITRA</v>
          </cell>
          <cell r="D35" t="str">
            <v>REGIÓN 9</v>
          </cell>
          <cell r="E35" t="str">
            <v xml:space="preserve">DIRECCIÓN DE TRÁNSITO Y TRANSPORTE </v>
          </cell>
          <cell r="F35" t="str">
            <v>830090486-1</v>
          </cell>
        </row>
        <row r="36">
          <cell r="A36" t="str">
            <v>ECSAN</v>
          </cell>
          <cell r="B36">
            <v>69</v>
          </cell>
          <cell r="C36" t="str">
            <v>ECSAN</v>
          </cell>
          <cell r="D36" t="str">
            <v>REGIÓN 1</v>
          </cell>
          <cell r="E36" t="str">
            <v>ESCUELA DE CADETES DE POLICÍA "GENERAL FRANCISCO DE PAULA SANTANDER"</v>
          </cell>
          <cell r="F36" t="str">
            <v>800127508-8</v>
          </cell>
        </row>
        <row r="37">
          <cell r="A37" t="str">
            <v>DICAR</v>
          </cell>
          <cell r="B37">
            <v>71</v>
          </cell>
          <cell r="C37" t="str">
            <v>DICAR</v>
          </cell>
          <cell r="D37" t="str">
            <v>REGIÓN 9</v>
          </cell>
          <cell r="E37" t="str">
            <v>DIRECCIÓN DE CARABINEROS Y SEGURIDAD RURAL</v>
          </cell>
          <cell r="F37" t="str">
            <v>900192793-1</v>
          </cell>
        </row>
        <row r="38">
          <cell r="A38" t="str">
            <v>MECAR</v>
          </cell>
          <cell r="B38">
            <v>72</v>
          </cell>
          <cell r="C38" t="str">
            <v>MECAR</v>
          </cell>
          <cell r="D38" t="str">
            <v>REGIÓN 8</v>
          </cell>
          <cell r="E38" t="str">
            <v>POLICÍA METROPOLITANA DE CARTAGENA</v>
          </cell>
          <cell r="F38" t="str">
            <v>900149064-7</v>
          </cell>
        </row>
        <row r="39">
          <cell r="A39" t="str">
            <v>MEBAR</v>
          </cell>
          <cell r="B39">
            <v>73</v>
          </cell>
          <cell r="C39" t="str">
            <v>MEBAR</v>
          </cell>
          <cell r="D39" t="str">
            <v>REGIÓN 8</v>
          </cell>
          <cell r="E39" t="str">
            <v>POLICÍA METROPOLITANA DE BARRANQUILLA</v>
          </cell>
          <cell r="F39" t="str">
            <v>900263078-7</v>
          </cell>
        </row>
        <row r="40">
          <cell r="A40" t="str">
            <v>MEBUC</v>
          </cell>
          <cell r="B40">
            <v>74</v>
          </cell>
          <cell r="C40" t="str">
            <v>MEBUC</v>
          </cell>
          <cell r="D40" t="str">
            <v>REGIÓN 5</v>
          </cell>
          <cell r="E40" t="str">
            <v>POLICÍA METROPOLITANA DE BUCARAMANGA</v>
          </cell>
          <cell r="F40" t="str">
            <v>900233117-8</v>
          </cell>
        </row>
        <row r="41">
          <cell r="A41" t="str">
            <v>MECUC</v>
          </cell>
          <cell r="B41">
            <v>75</v>
          </cell>
          <cell r="C41" t="str">
            <v>MECUC</v>
          </cell>
          <cell r="D41" t="str">
            <v>REGIÓN 5</v>
          </cell>
          <cell r="E41" t="str">
            <v>POLICÍA METROPOLITANA DE SAN JOSÉ DE CÚCUTA</v>
          </cell>
          <cell r="F41" t="str">
            <v>900259415-0</v>
          </cell>
        </row>
        <row r="42">
          <cell r="A42" t="str">
            <v>DIPRO</v>
          </cell>
          <cell r="B42">
            <v>79</v>
          </cell>
          <cell r="C42" t="str">
            <v>DIPRO</v>
          </cell>
          <cell r="D42" t="str">
            <v>REGIÓN 9</v>
          </cell>
          <cell r="E42" t="str">
            <v>DIRECCIÓN PROTECCIÓN Y SERVICIOS ESPECIALES</v>
          </cell>
          <cell r="F42" t="str">
            <v>800141053-7</v>
          </cell>
        </row>
        <row r="43">
          <cell r="A43" t="str">
            <v>DINAE</v>
          </cell>
          <cell r="B43">
            <v>80</v>
          </cell>
          <cell r="C43" t="str">
            <v>DINAE</v>
          </cell>
          <cell r="D43" t="str">
            <v>REGIÓN 9</v>
          </cell>
          <cell r="E43" t="str">
            <v>DIRECCIÓN NACIONAL DE ESCUELAS</v>
          </cell>
          <cell r="F43" t="str">
            <v>900393379-0</v>
          </cell>
        </row>
        <row r="44">
          <cell r="A44" t="str">
            <v>MEPER</v>
          </cell>
          <cell r="B44">
            <v>82</v>
          </cell>
          <cell r="C44" t="str">
            <v>MEPER</v>
          </cell>
          <cell r="D44" t="str">
            <v>REGIÓN 3</v>
          </cell>
          <cell r="E44" t="str">
            <v>POLICÍA METROPOLITANA DE PEREIRA</v>
          </cell>
          <cell r="F44" t="str">
            <v>900360623-7</v>
          </cell>
        </row>
        <row r="45">
          <cell r="A45" t="str">
            <v>METIB</v>
          </cell>
          <cell r="B45">
            <v>87</v>
          </cell>
          <cell r="C45" t="str">
            <v>METIB</v>
          </cell>
          <cell r="D45" t="str">
            <v>REGIÓN 2</v>
          </cell>
          <cell r="E45" t="str">
            <v>POLICÍA METROPOLITANA DE IBAGUÉ</v>
          </cell>
          <cell r="F45" t="str">
            <v>900486439-1</v>
          </cell>
        </row>
        <row r="46">
          <cell r="A46" t="str">
            <v>MEVIL</v>
          </cell>
          <cell r="B46">
            <v>88</v>
          </cell>
          <cell r="C46" t="str">
            <v>MEVIL</v>
          </cell>
          <cell r="D46" t="str">
            <v>REGIÓN 7</v>
          </cell>
          <cell r="E46" t="str">
            <v>POLICÍA METROPOLITANA DE VILLAVICENCIO</v>
          </cell>
          <cell r="F46" t="str">
            <v>900486513-7</v>
          </cell>
        </row>
        <row r="47">
          <cell r="A47" t="str">
            <v>MESAN</v>
          </cell>
          <cell r="B47">
            <v>89</v>
          </cell>
          <cell r="C47" t="str">
            <v>MESAN</v>
          </cell>
          <cell r="D47" t="str">
            <v>REGIÓN 8</v>
          </cell>
          <cell r="E47" t="str">
            <v xml:space="preserve">POLICÍA METROPOLITANA DE SANTA MARTA </v>
          </cell>
          <cell r="F47" t="str">
            <v>900552743-7</v>
          </cell>
        </row>
        <row r="48">
          <cell r="A48" t="str">
            <v>MEPOY</v>
          </cell>
          <cell r="B48">
            <v>90</v>
          </cell>
          <cell r="C48" t="str">
            <v>MEPOY</v>
          </cell>
          <cell r="D48" t="str">
            <v>REGIÓN 4</v>
          </cell>
          <cell r="E48" t="str">
            <v>POLICÍA METROPOLITANA DE POPAYÁN</v>
          </cell>
          <cell r="F48" t="str">
            <v>900593683-9</v>
          </cell>
        </row>
        <row r="49">
          <cell r="A49" t="str">
            <v>MEMAZ</v>
          </cell>
          <cell r="B49">
            <v>91</v>
          </cell>
          <cell r="C49" t="str">
            <v>MEMAZ</v>
          </cell>
          <cell r="D49" t="str">
            <v>REGIÓN 3</v>
          </cell>
          <cell r="E49" t="str">
            <v>POLICÍA METROPOLITANA DE MANIZALES</v>
          </cell>
          <cell r="F49" t="str">
            <v>900634185-1</v>
          </cell>
        </row>
        <row r="50">
          <cell r="A50" t="str">
            <v>MEMOT</v>
          </cell>
          <cell r="B50">
            <v>92</v>
          </cell>
          <cell r="C50" t="str">
            <v>MEMOT</v>
          </cell>
          <cell r="D50" t="str">
            <v>REGIÓN 6</v>
          </cell>
          <cell r="E50" t="str">
            <v xml:space="preserve">POLICÍA METROPOLITANA DE MONTERÍA </v>
          </cell>
          <cell r="F50" t="str">
            <v>900805219-6</v>
          </cell>
        </row>
        <row r="51">
          <cell r="A51" t="str">
            <v>MENEV</v>
          </cell>
          <cell r="B51">
            <v>93</v>
          </cell>
          <cell r="C51" t="str">
            <v>MENEV</v>
          </cell>
          <cell r="D51" t="str">
            <v>REGIÓN 2</v>
          </cell>
          <cell r="E51" t="str">
            <v>POLICÍA METROPOLITANA DE NEIVA</v>
          </cell>
          <cell r="F51" t="str">
            <v>900634185-1</v>
          </cell>
        </row>
        <row r="52">
          <cell r="A52" t="str">
            <v>MEPAS</v>
          </cell>
          <cell r="B52">
            <v>94</v>
          </cell>
          <cell r="C52" t="str">
            <v>MEPAS</v>
          </cell>
          <cell r="D52" t="str">
            <v>REGIÓN 4</v>
          </cell>
          <cell r="E52" t="str">
            <v>POLICÍA METROPOLITANA DE PASTO</v>
          </cell>
          <cell r="F52" t="str">
            <v>900807338-3</v>
          </cell>
        </row>
        <row r="53">
          <cell r="A53" t="str">
            <v>METUN</v>
          </cell>
          <cell r="B53">
            <v>95</v>
          </cell>
          <cell r="C53" t="str">
            <v>METUN</v>
          </cell>
          <cell r="D53" t="str">
            <v>REGIÓN 1</v>
          </cell>
          <cell r="E53" t="str">
            <v>POLICÍA METROPOLITANA DE TUNJA</v>
          </cell>
          <cell r="F53" t="str">
            <v>900801209-4</v>
          </cell>
        </row>
        <row r="54">
          <cell r="A54" t="str">
            <v>DEAMA-ARSAN</v>
          </cell>
          <cell r="B54">
            <v>13</v>
          </cell>
          <cell r="C54" t="str">
            <v>DEAMA-ARSAN</v>
          </cell>
          <cell r="D54" t="str">
            <v>REGIÓN 1</v>
          </cell>
          <cell r="E54" t="str">
            <v>AREA DE SANIDAD AMAZONAS</v>
          </cell>
          <cell r="F54" t="str">
            <v>800140601-9</v>
          </cell>
        </row>
        <row r="55">
          <cell r="A55" t="str">
            <v>DEARA-ARSAN</v>
          </cell>
          <cell r="B55">
            <v>15</v>
          </cell>
          <cell r="C55" t="str">
            <v>DEARA-ARSAN</v>
          </cell>
          <cell r="D55" t="str">
            <v>REGIÓN 5</v>
          </cell>
          <cell r="E55" t="str">
            <v>AREA DE SANIDAD ARAUCA</v>
          </cell>
          <cell r="F55" t="str">
            <v>800140602-6</v>
          </cell>
        </row>
        <row r="56">
          <cell r="A56" t="str">
            <v>DEBOL-ARSAN</v>
          </cell>
          <cell r="B56">
            <v>72</v>
          </cell>
          <cell r="C56" t="str">
            <v>DEBOL-ARSAN</v>
          </cell>
          <cell r="D56" t="str">
            <v>REGIÓN 8</v>
          </cell>
          <cell r="E56" t="str">
            <v>AREA DE SANIDAD BOLIVAR</v>
          </cell>
          <cell r="F56" t="str">
            <v>800140605-8</v>
          </cell>
        </row>
        <row r="57">
          <cell r="A57" t="str">
            <v>DEBOY-ARSAN</v>
          </cell>
          <cell r="B57">
            <v>95</v>
          </cell>
          <cell r="C57" t="str">
            <v>DEBOY-ARSAN</v>
          </cell>
          <cell r="D57" t="str">
            <v>REGIÓN 1</v>
          </cell>
          <cell r="E57" t="str">
            <v>AREA DE SANIDAD BOYACA</v>
          </cell>
          <cell r="F57" t="str">
            <v>800140606-5</v>
          </cell>
        </row>
        <row r="58">
          <cell r="A58" t="str">
            <v>DECAL-ARSAN</v>
          </cell>
          <cell r="B58">
            <v>91</v>
          </cell>
          <cell r="C58" t="str">
            <v>DECAL-ARSAN</v>
          </cell>
          <cell r="D58" t="str">
            <v>REGIÓN 3</v>
          </cell>
          <cell r="E58" t="str">
            <v>AREA DE SANIDAD CALDAS</v>
          </cell>
          <cell r="F58" t="str">
            <v>800140610-5</v>
          </cell>
        </row>
        <row r="59">
          <cell r="A59" t="str">
            <v>DECAQ-ARSAN</v>
          </cell>
          <cell r="B59">
            <v>20</v>
          </cell>
          <cell r="C59" t="str">
            <v>DECAQ-ARSAN</v>
          </cell>
          <cell r="D59" t="str">
            <v>REGIÓN 2</v>
          </cell>
          <cell r="E59" t="str">
            <v>AREA DE SANIDAD CAQUETA</v>
          </cell>
          <cell r="F59" t="str">
            <v>800140607-2</v>
          </cell>
        </row>
        <row r="60">
          <cell r="A60" t="str">
            <v>DECAS-ARSAN</v>
          </cell>
          <cell r="B60">
            <v>21</v>
          </cell>
          <cell r="C60" t="str">
            <v>DECAS-ARSAN</v>
          </cell>
          <cell r="D60" t="str">
            <v>REGIÓN 7</v>
          </cell>
          <cell r="E60" t="str">
            <v>AREA DE SANIDAD CASANARE</v>
          </cell>
          <cell r="F60" t="str">
            <v>844000016-1</v>
          </cell>
        </row>
        <row r="61">
          <cell r="A61" t="str">
            <v>DECAU-ARSAN</v>
          </cell>
          <cell r="B61">
            <v>90</v>
          </cell>
          <cell r="C61" t="str">
            <v>DECAU-ARSAN</v>
          </cell>
          <cell r="D61" t="str">
            <v>REGIÓN 4</v>
          </cell>
          <cell r="E61" t="str">
            <v>AREA DE SANIDAD CAUCA</v>
          </cell>
          <cell r="F61" t="str">
            <v>800140624-8</v>
          </cell>
        </row>
        <row r="62">
          <cell r="A62" t="str">
            <v>DECES-ARSAN</v>
          </cell>
          <cell r="B62">
            <v>23</v>
          </cell>
          <cell r="C62" t="str">
            <v>DECES-ARSAN</v>
          </cell>
          <cell r="D62" t="str">
            <v>REGIÓN 8</v>
          </cell>
          <cell r="E62" t="str">
            <v>AREA DE SANIDAD CESAR</v>
          </cell>
          <cell r="F62" t="str">
            <v>800140623-0</v>
          </cell>
        </row>
        <row r="63">
          <cell r="A63" t="str">
            <v>DECHO-ARSAN</v>
          </cell>
          <cell r="B63">
            <v>24</v>
          </cell>
          <cell r="C63" t="str">
            <v>DECHO-ARSAN</v>
          </cell>
          <cell r="D63" t="str">
            <v>REGIÓN 6</v>
          </cell>
          <cell r="E63" t="str">
            <v>AREA DE SANIDAD CHOCO</v>
          </cell>
          <cell r="F63" t="str">
            <v>800140951-1</v>
          </cell>
        </row>
        <row r="64">
          <cell r="A64" t="str">
            <v>DECOR-ARSAN</v>
          </cell>
          <cell r="B64">
            <v>92</v>
          </cell>
          <cell r="C64" t="str">
            <v>DECOR-ARSAN</v>
          </cell>
          <cell r="D64" t="str">
            <v>REGIÓN 6</v>
          </cell>
          <cell r="E64" t="str">
            <v>AREA DE SANIDAD CORDOBA</v>
          </cell>
          <cell r="F64" t="str">
            <v>800140616-9</v>
          </cell>
        </row>
        <row r="65">
          <cell r="A65" t="str">
            <v>DEGUN-ARSAN</v>
          </cell>
          <cell r="B65">
            <v>28</v>
          </cell>
          <cell r="C65" t="str">
            <v>DEGUN-ARSAN</v>
          </cell>
          <cell r="D65" t="str">
            <v>REGIÓN 1</v>
          </cell>
          <cell r="E65" t="str">
            <v>AREA DE SANIDAD GUAINIA</v>
          </cell>
          <cell r="F65" t="str">
            <v>843000047-4</v>
          </cell>
        </row>
        <row r="66">
          <cell r="A66" t="str">
            <v>DEGUA-ARSAN</v>
          </cell>
          <cell r="B66">
            <v>27</v>
          </cell>
          <cell r="C66" t="str">
            <v>DEGUA-ARSAN</v>
          </cell>
          <cell r="D66" t="str">
            <v>REGIÓN 8</v>
          </cell>
          <cell r="E66" t="str">
            <v>AREA DE SANIDAD GUAJIRA</v>
          </cell>
          <cell r="F66" t="str">
            <v>800140974-0</v>
          </cell>
        </row>
        <row r="67">
          <cell r="A67" t="str">
            <v>DEGUV-ARSAN</v>
          </cell>
          <cell r="B67">
            <v>29</v>
          </cell>
          <cell r="C67" t="str">
            <v>DEGUV-ARSAN</v>
          </cell>
          <cell r="D67" t="str">
            <v>REGIÓN 7</v>
          </cell>
          <cell r="E67" t="str">
            <v>AREA DE SANIDAD GUAVIARE</v>
          </cell>
          <cell r="F67" t="str">
            <v>800252722-2</v>
          </cell>
        </row>
        <row r="68">
          <cell r="A68" t="str">
            <v>DEMAG-ARSAN</v>
          </cell>
          <cell r="B68">
            <v>89</v>
          </cell>
          <cell r="C68" t="str">
            <v>DEMAG-ARSAN</v>
          </cell>
          <cell r="D68" t="str">
            <v>REGIÓN 8</v>
          </cell>
          <cell r="E68" t="str">
            <v>AREA DE SANIDAD MAGDALENA</v>
          </cell>
          <cell r="F68" t="str">
            <v>800140977-2</v>
          </cell>
        </row>
        <row r="69">
          <cell r="A69" t="str">
            <v>DENAR-ARSAN</v>
          </cell>
          <cell r="B69">
            <v>94</v>
          </cell>
          <cell r="C69" t="str">
            <v>DENAR-ARSAN</v>
          </cell>
          <cell r="D69" t="str">
            <v>REGIÓN 4</v>
          </cell>
          <cell r="E69" t="str">
            <v>AREA DE SANIDAD NARIÑO</v>
          </cell>
          <cell r="F69" t="str">
            <v>800141060-9</v>
          </cell>
        </row>
        <row r="70">
          <cell r="A70" t="str">
            <v>DENOR-ARSAN</v>
          </cell>
          <cell r="B70">
            <v>75</v>
          </cell>
          <cell r="C70" t="str">
            <v>DENOR-ARSAN</v>
          </cell>
          <cell r="D70" t="str">
            <v>REGIÓN 5</v>
          </cell>
          <cell r="E70" t="str">
            <v>AREA DE SANIDAD NORTE DE SANTANDER</v>
          </cell>
          <cell r="F70" t="str">
            <v>800141098-8</v>
          </cell>
        </row>
        <row r="71">
          <cell r="A71" t="str">
            <v>DEPUT-ARSAN</v>
          </cell>
          <cell r="B71">
            <v>34</v>
          </cell>
          <cell r="C71" t="str">
            <v>DEPUT-ARSAN</v>
          </cell>
          <cell r="D71" t="str">
            <v>REGIÓN 2</v>
          </cell>
          <cell r="E71" t="str">
            <v>AREA DE SANIDAD PUTUMAYO</v>
          </cell>
          <cell r="F71" t="str">
            <v>800141203-5</v>
          </cell>
        </row>
        <row r="72">
          <cell r="A72" t="str">
            <v>DEQUI-ARSAN</v>
          </cell>
          <cell r="B72">
            <v>35</v>
          </cell>
          <cell r="C72" t="str">
            <v>DEQUI-ARSAN</v>
          </cell>
          <cell r="D72" t="str">
            <v>REGIÓN 3</v>
          </cell>
          <cell r="E72" t="str">
            <v>AREA DE SANIDAD QUINDIO</v>
          </cell>
          <cell r="F72" t="str">
            <v>800140986-9</v>
          </cell>
        </row>
        <row r="73">
          <cell r="A73" t="str">
            <v>DESAP-ARSAN</v>
          </cell>
          <cell r="B73">
            <v>38</v>
          </cell>
          <cell r="C73" t="str">
            <v>DESAP-ARSAN</v>
          </cell>
          <cell r="D73" t="str">
            <v>REGIÓN 1</v>
          </cell>
          <cell r="E73" t="str">
            <v>AREA DE SANIDAD SAN ANDRES Y PROVIDENCIA</v>
          </cell>
          <cell r="F73" t="str">
            <v>800141053-7</v>
          </cell>
        </row>
        <row r="74">
          <cell r="A74" t="str">
            <v>DESUC-ARSAN</v>
          </cell>
          <cell r="B74">
            <v>39</v>
          </cell>
          <cell r="C74" t="str">
            <v>DESUC-ARSAN</v>
          </cell>
          <cell r="D74" t="str">
            <v>REGIÓN 8</v>
          </cell>
          <cell r="E74" t="str">
            <v>AREA DE SANIDAD SUCRE</v>
          </cell>
          <cell r="F74" t="str">
            <v>800141100-5</v>
          </cell>
        </row>
        <row r="75">
          <cell r="A75" t="str">
            <v>DETOL-ARSAN</v>
          </cell>
          <cell r="B75">
            <v>87</v>
          </cell>
          <cell r="C75" t="str">
            <v>DETOL-ARSAN</v>
          </cell>
          <cell r="D75" t="str">
            <v>REGIÓN 2</v>
          </cell>
          <cell r="E75" t="str">
            <v>AREA DE SANIDAD TOLIMA</v>
          </cell>
          <cell r="F75" t="str">
            <v>800141101-2</v>
          </cell>
        </row>
        <row r="76">
          <cell r="A76" t="str">
            <v>DEVIC-ARSAN</v>
          </cell>
          <cell r="B76">
            <v>44</v>
          </cell>
          <cell r="C76" t="str">
            <v>DEVIC-ARSAN</v>
          </cell>
          <cell r="D76" t="str">
            <v>REGIÓN 7</v>
          </cell>
          <cell r="E76" t="str">
            <v>AREA DE SANIDAD VICHADA</v>
          </cell>
          <cell r="F76" t="str">
            <v>842000015-5</v>
          </cell>
        </row>
        <row r="77">
          <cell r="A77" t="str">
            <v>DEURA-ARSAN</v>
          </cell>
          <cell r="B77">
            <v>42</v>
          </cell>
          <cell r="C77" t="str">
            <v>DEURA-ARSAN</v>
          </cell>
          <cell r="D77" t="str">
            <v>REGIÓN 6</v>
          </cell>
          <cell r="E77" t="str">
            <v>AREA SANIDAD URABA</v>
          </cell>
          <cell r="F77" t="str">
            <v>800141103-7</v>
          </cell>
        </row>
        <row r="78">
          <cell r="A78" t="str">
            <v>DISAN-NIVEL CENTRAL</v>
          </cell>
          <cell r="B78">
            <v>7</v>
          </cell>
          <cell r="C78" t="str">
            <v>DISAN-NIVEL CENTRAL</v>
          </cell>
          <cell r="D78" t="str">
            <v>REGIÓN 1</v>
          </cell>
          <cell r="E78" t="str">
            <v>DIRECCION DE SANIDAD NIVEL CENTRAL</v>
          </cell>
          <cell r="F78" t="str">
            <v>830041314-4</v>
          </cell>
        </row>
        <row r="79">
          <cell r="A79" t="str">
            <v>SECSA-DEANT</v>
          </cell>
          <cell r="B79">
            <v>65</v>
          </cell>
          <cell r="C79" t="str">
            <v>SECSA-DEANT</v>
          </cell>
          <cell r="D79" t="str">
            <v>REGIÓN 6</v>
          </cell>
          <cell r="E79" t="str">
            <v>SECCIONAL SANIDAD ANTIOQUIA</v>
          </cell>
          <cell r="F79" t="str">
            <v>811032059-3</v>
          </cell>
        </row>
        <row r="80">
          <cell r="A80" t="str">
            <v>SECSA-DEATA</v>
          </cell>
          <cell r="B80">
            <v>67</v>
          </cell>
          <cell r="C80" t="str">
            <v>SECSA-DEATA</v>
          </cell>
          <cell r="D80" t="str">
            <v>REGIÓN 8</v>
          </cell>
          <cell r="E80" t="str">
            <v>SECCIONAL SANIDAD ATLANTICO</v>
          </cell>
          <cell r="F80" t="str">
            <v>802016407-3</v>
          </cell>
        </row>
        <row r="81">
          <cell r="A81" t="str">
            <v>SECBOG-DECUN</v>
          </cell>
          <cell r="B81">
            <v>81</v>
          </cell>
          <cell r="C81" t="str">
            <v>SECBOG-DECUN</v>
          </cell>
          <cell r="D81" t="str">
            <v>REGIÓN 7</v>
          </cell>
          <cell r="E81" t="str">
            <v>SECCIONAL SANIDAD BOGOTA Y DECUND</v>
          </cell>
          <cell r="F81" t="str">
            <v>900336524-5</v>
          </cell>
        </row>
        <row r="82">
          <cell r="A82" t="str">
            <v>SECSA-DEUIL</v>
          </cell>
          <cell r="B82">
            <v>85</v>
          </cell>
          <cell r="C82" t="str">
            <v>SECSA-DEUIL</v>
          </cell>
          <cell r="D82" t="str">
            <v>REGIÓN 2</v>
          </cell>
          <cell r="E82" t="str">
            <v>SECCIONAL SANIDAD HUILA</v>
          </cell>
          <cell r="F82" t="str">
            <v>900419719-1</v>
          </cell>
        </row>
        <row r="83">
          <cell r="A83" t="str">
            <v>SECSA-DEMET</v>
          </cell>
          <cell r="B83">
            <v>84</v>
          </cell>
          <cell r="C83" t="str">
            <v>SECSA-DEMET</v>
          </cell>
          <cell r="D83" t="str">
            <v>REGIÓN 7</v>
          </cell>
          <cell r="E83" t="str">
            <v>SECCIONAL SANIDAD META</v>
          </cell>
          <cell r="F83" t="str">
            <v>900407224-6</v>
          </cell>
        </row>
        <row r="84">
          <cell r="A84" t="str">
            <v>SECSA-DECUN</v>
          </cell>
          <cell r="B84">
            <v>26</v>
          </cell>
          <cell r="C84" t="str">
            <v>SECSA-DECUN</v>
          </cell>
          <cell r="D84" t="str">
            <v>REGIÓN 1</v>
          </cell>
          <cell r="E84" t="str">
            <v>SECCIONAL SANIDAD CUNDINAMARCA</v>
          </cell>
          <cell r="F84" t="str">
            <v>900253272-7</v>
          </cell>
        </row>
        <row r="85">
          <cell r="A85" t="str">
            <v>SECSA-DERIS</v>
          </cell>
          <cell r="B85">
            <v>86</v>
          </cell>
          <cell r="C85" t="str">
            <v>SECSA-DERIS</v>
          </cell>
          <cell r="D85" t="str">
            <v>REGIÓN 3</v>
          </cell>
          <cell r="E85" t="str">
            <v>SECCIONAL SANIDAD RISARALDA</v>
          </cell>
          <cell r="F85" t="str">
            <v>900339410-8</v>
          </cell>
        </row>
        <row r="86">
          <cell r="A86" t="str">
            <v>SECSA-DESAN</v>
          </cell>
          <cell r="B86">
            <v>68</v>
          </cell>
          <cell r="C86" t="str">
            <v>SECSA-DESAN</v>
          </cell>
          <cell r="D86" t="str">
            <v>REGIÓN 5</v>
          </cell>
          <cell r="E86" t="str">
            <v>SECCIONAL SANIDAD SANTANDER</v>
          </cell>
          <cell r="F86" t="str">
            <v>804012688-5</v>
          </cell>
        </row>
        <row r="87">
          <cell r="A87" t="str">
            <v>SECSA-DEVAL</v>
          </cell>
          <cell r="B87">
            <v>66</v>
          </cell>
          <cell r="C87" t="str">
            <v>SECSA-DEVAL</v>
          </cell>
          <cell r="D87" t="str">
            <v>REGIÓN 4</v>
          </cell>
          <cell r="E87" t="str">
            <v>SECCIONAL SANIDAD VALLE DEL CAUCA</v>
          </cell>
          <cell r="F87" t="str">
            <v>805022186-6</v>
          </cell>
        </row>
        <row r="88">
          <cell r="A88" t="str">
            <v>HOCEN</v>
          </cell>
          <cell r="B88">
            <v>96</v>
          </cell>
          <cell r="C88" t="str">
            <v>HOCEN</v>
          </cell>
          <cell r="D88" t="str">
            <v>REGIÓN 1</v>
          </cell>
          <cell r="E88" t="str">
            <v>HOSPITAL CENTRAL</v>
          </cell>
          <cell r="F88" t="str">
            <v>830067597-4</v>
          </cell>
        </row>
        <row r="89">
          <cell r="A89"/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RAF - YULESBY HERNANDEZ CANTILLO" refreshedDate="43221.503573611109" createdVersion="5" refreshedVersion="5" minRefreshableVersion="3" recordCount="14" xr:uid="{00000000-000A-0000-FFFF-FFFF03000000}">
  <cacheSource type="worksheet">
    <worksheetSource ref="A1:BA1048576" sheet="GENERAL"/>
  </cacheSource>
  <cacheFields count="58">
    <cacheField name="No." numFmtId="0">
      <sharedItems containsString="0" containsBlank="1" containsNumber="1" containsInteger="1" minValue="1" maxValue="13"/>
    </cacheField>
    <cacheField name="No. De Contratación de acuerdo a manual " numFmtId="0">
      <sharedItems containsString="0" containsBlank="1" containsNumber="1" containsInteger="1" minValue="6" maxValue="92"/>
    </cacheField>
    <cacheField name="SIGLA" numFmtId="0">
      <sharedItems containsBlank="1"/>
    </cacheField>
    <cacheField name="REGIONAL " numFmtId="0">
      <sharedItems containsBlank="1"/>
    </cacheField>
    <cacheField name="NOMBRE DE LA UNIDAD " numFmtId="0">
      <sharedItems containsBlank="1"/>
    </cacheField>
    <cacheField name="NIT" numFmtId="0">
      <sharedItems containsBlank="1"/>
    </cacheField>
    <cacheField name="JEFE DE CONTRATOS  GRADO. NOMBRES Y APELLIDOS" numFmtId="0">
      <sharedItems containsBlank="1"/>
    </cacheField>
    <cacheField name="CELULAR" numFmtId="0">
      <sharedItems containsString="0" containsBlank="1" containsNumber="1" containsInteger="1" minValue="3108413595" maxValue="3108413595"/>
    </cacheField>
    <cacheField name="CORREO ELECTRÓNICO" numFmtId="0">
      <sharedItems containsBlank="1"/>
    </cacheField>
    <cacheField name="UNIDAD" numFmtId="0">
      <sharedItems containsBlank="1"/>
    </cacheField>
    <cacheField name="ÁREA" numFmtId="0">
      <sharedItems containsBlank="1"/>
    </cacheField>
    <cacheField name="PROCESO" numFmtId="0">
      <sharedItems containsBlank="1"/>
    </cacheField>
    <cacheField name="GASTOS DE PERSONAL" numFmtId="0">
      <sharedItems containsString="0" containsBlank="1" containsNumber="1" containsInteger="1" minValue="10000" maxValue="10000"/>
    </cacheField>
    <cacheField name="REC 10" numFmtId="44">
      <sharedItems containsString="0" containsBlank="1" containsNumber="1" containsInteger="1" minValue="50000" maxValue="50000"/>
    </cacheField>
    <cacheField name="REC 16" numFmtId="44">
      <sharedItems containsNonDate="0" containsString="0" containsBlank="1"/>
    </cacheField>
    <cacheField name="TOTAL RECURSO 10 Y 16" numFmtId="44">
      <sharedItems containsString="0" containsBlank="1" containsNumber="1" containsInteger="1" minValue="0" maxValue="50000"/>
    </cacheField>
    <cacheField name="TOTAL GASTOS GENERALES " numFmtId="44">
      <sharedItems containsString="0" containsBlank="1" containsNumber="1" containsInteger="1" minValue="0" maxValue="50000"/>
    </cacheField>
    <cacheField name="INVERSIÓN" numFmtId="44">
      <sharedItems containsString="0" containsBlank="1" containsNumber="1" minValue="11056999147.35" maxValue="13775000000"/>
    </cacheField>
    <cacheField name="VALOR TOTAL " numFmtId="44">
      <sharedItems containsString="0" containsBlank="1" containsNumber="1" minValue="11056999147.35" maxValue="13775010000"/>
    </cacheField>
    <cacheField name="VIGENCIA FUTURA 2019" numFmtId="0">
      <sharedItems containsNonDate="0" containsString="0" containsBlank="1"/>
    </cacheField>
    <cacheField name="SISCO" numFmtId="0">
      <sharedItems containsString="0" containsBlank="1" containsNumber="1" containsInteger="1" minValue="283189" maxValue="285789"/>
    </cacheField>
    <cacheField name="FECHA REAL DE ENTREGA ECO a GUPRE" numFmtId="0">
      <sharedItems containsNonDate="0" containsDate="1" containsString="0" containsBlank="1" minDate="2018-01-11T00:00:00" maxDate="2018-01-20T00:00:00"/>
    </cacheField>
    <cacheField name="FECHA DE APROBACIÓN DE ECO Y ENTREGA A PRE CON CDP" numFmtId="0">
      <sharedItems containsNonDate="0" containsDate="1" containsString="0" containsBlank="1" minDate="2018-02-06T00:00:00" maxDate="2018-02-10T00:00:00"/>
    </cacheField>
    <cacheField name="VALOR ECO APROBADO " numFmtId="44">
      <sharedItems containsString="0" containsBlank="1" containsNumber="1" minValue="11056993905.870001" maxValue="13775500000"/>
    </cacheField>
    <cacheField name="No Acta Consecutivo" numFmtId="0">
      <sharedItems containsString="0" containsBlank="1" containsNumber="1" containsInteger="1" minValue="43" maxValue="49"/>
    </cacheField>
    <cacheField name="OBSERVACIONES" numFmtId="0">
      <sharedItems containsBlank="1" longText="1"/>
    </cacheField>
    <cacheField name="COMPONENTE " numFmtId="0">
      <sharedItems containsBlank="1"/>
    </cacheField>
    <cacheField name="MODALIDAD _x000a_DE SELECCIÓN" numFmtId="0">
      <sharedItems containsBlank="1" count="2">
        <s v="MENOR CUANTÍA"/>
        <m/>
      </sharedItems>
    </cacheField>
    <cacheField name="RESPONSABLE GUPRE ECONÓMICO" numFmtId="0">
      <sharedItems containsBlank="1"/>
    </cacheField>
    <cacheField name="RESPONSABLE GUPRE JURÍDICO " numFmtId="0">
      <sharedItems containsBlank="1"/>
    </cacheField>
    <cacheField name="RESPONSABLE PROCESO" numFmtId="0">
      <sharedItems containsBlank="1"/>
    </cacheField>
    <cacheField name="NUMERO DE PROCESO" numFmtId="0">
      <sharedItems containsBlank="1"/>
    </cacheField>
    <cacheField name="MES PRESENTACIÓN ECO " numFmtId="0">
      <sharedItems containsBlank="1"/>
    </cacheField>
    <cacheField name="FECHA PRESENTACIÓN ESTUDIO" numFmtId="164">
      <sharedItems containsNonDate="0" containsDate="1" containsString="0" containsBlank="1" minDate="2018-01-15T00:00:00" maxDate="2018-01-16T00:00:00"/>
    </cacheField>
    <cacheField name="FECHA APROBACIÓN ECO" numFmtId="164">
      <sharedItems containsNonDate="0" containsDate="1" containsString="0" containsBlank="1" minDate="2018-02-05T00:00:00" maxDate="2018-02-06T00:00:00"/>
    </cacheField>
    <cacheField name="PLAZO SEGÚN MODALIDAD" numFmtId="164">
      <sharedItems containsNonDate="0" containsDate="1" containsString="0" containsBlank="1" minDate="1900-02-23T00:00:00" maxDate="1900-02-24T00:00:00"/>
    </cacheField>
    <cacheField name="FECHA PROYECTADA CONTRATO" numFmtId="164">
      <sharedItems containsNonDate="0" containsDate="1" containsString="0" containsBlank="1" minDate="2018-04-01T00:00:00" maxDate="2018-04-02T00:00:00"/>
    </cacheField>
    <cacheField name="MES DE COMPRA PROYECTADA" numFmtId="0">
      <sharedItems containsBlank="1"/>
    </cacheField>
    <cacheField name="META" numFmtId="0">
      <sharedItems containsNonDate="0" containsDate="1" containsString="0" containsBlank="1" minDate="2018-05-01T00:00:00" maxDate="2018-06-02T00:00:00"/>
    </cacheField>
    <cacheField name="AHORRO DE LA CONTRATACIÓN" numFmtId="0">
      <sharedItems containsNonDate="0" containsString="0" containsBlank="1"/>
    </cacheField>
    <cacheField name="FUNCIONARIO CONTRACTUAL" numFmtId="0">
      <sharedItems containsBlank="1"/>
    </cacheField>
    <cacheField name="CONTRATO No" numFmtId="0">
      <sharedItems containsNonDate="0" containsString="0" containsBlank="1"/>
    </cacheField>
    <cacheField name="NO. CONSTANCIA SECOP" numFmtId="0">
      <sharedItems containsNonDate="0" containsString="0" containsBlank="1"/>
    </cacheField>
    <cacheField name="FECHA DE SUSCRIPCIÓN CONTRATO _x000a_(DD/MM/AAAA)" numFmtId="0">
      <sharedItems containsNonDate="0" containsString="0" containsBlank="1"/>
    </cacheField>
    <cacheField name="OBJETO DEL CONTRATO " numFmtId="0">
      <sharedItems containsNonDate="0" containsString="0" containsBlank="1"/>
    </cacheField>
    <cacheField name="NIT2" numFmtId="0">
      <sharedItems containsNonDate="0" containsString="0" containsBlank="1"/>
    </cacheField>
    <cacheField name="CONTRATISTA" numFmtId="0">
      <sharedItems containsNonDate="0" containsString="0" containsBlank="1"/>
    </cacheField>
    <cacheField name="CONFIGURACIÓN JURÍDICA (UNIÓN TEMPORAL O CONSORCIO" numFmtId="0">
      <sharedItems containsNonDate="0" containsString="0" containsBlank="1"/>
    </cacheField>
    <cacheField name="REPRESENTANTE LEGAL " numFmtId="0">
      <sharedItems containsNonDate="0" containsString="0" containsBlank="1"/>
    </cacheField>
    <cacheField name="VALOR TOTAL CONTRATADO" numFmtId="44">
      <sharedItems containsString="0" containsBlank="1" containsNumber="1" containsInteger="1" minValue="10000" maxValue="5000000000"/>
    </cacheField>
    <cacheField name="GASTOS GENERALES CONTRATADO" numFmtId="44">
      <sharedItems containsString="0" containsBlank="1" containsNumber="1" containsInteger="1" minValue="10000" maxValue="10000"/>
    </cacheField>
    <cacheField name="INVERSIÓN CONTRATADO" numFmtId="44">
      <sharedItems containsString="0" containsBlank="1" containsNumber="1" containsInteger="1" minValue="5000" maxValue="5000"/>
    </cacheField>
    <cacheField name="FECHA INICIO FORMATO _x000a_(DD/MM/AAAA)" numFmtId="0">
      <sharedItems containsNonDate="0" containsString="0" containsBlank="1"/>
    </cacheField>
    <cacheField name="FECHA DE TERMINO _x000a_(DD/MM/AAAA)" numFmtId="0">
      <sharedItems containsNonDate="0" containsString="0" containsBlank="1"/>
    </cacheField>
    <cacheField name="FORMA DE PAGO" numFmtId="0">
      <sharedItems containsNonDate="0" containsString="0" containsBlank="1"/>
    </cacheField>
    <cacheField name="PAGOS REALIZADOS" numFmtId="0">
      <sharedItems containsNonDate="0" containsString="0" containsBlank="1"/>
    </cacheField>
    <cacheField name="SALDOS" numFmtId="44">
      <sharedItems containsString="0" containsBlank="1" containsNumber="1" containsInteger="1" minValue="0" maxValue="5000000000"/>
    </cacheField>
    <cacheField name="ESTAD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n v="1"/>
    <n v="92"/>
    <s v="MEMOT"/>
    <s v="REGIÓN 6"/>
    <s v="POLICÍA METROPOLITANA DE MONTERÍA "/>
    <s v="900805219-6"/>
    <s v="CT. ROCIÓ CUBILLOS RODRÍGUEZ"/>
    <n v="3108413595"/>
    <s v="rocio.cubillos@correo.policia.gov.co"/>
    <s v="GUSEP"/>
    <s v="ARINF"/>
    <s v="CONSTRUCCIÓN COMANDO POLICÍA METROPOLITANA DE SANTA MARTHA FASE 1 BLOQUE B"/>
    <n v="10000"/>
    <m/>
    <m/>
    <n v="0"/>
    <n v="10000"/>
    <n v="13775000000"/>
    <n v="13775010000"/>
    <m/>
    <n v="283189"/>
    <d v="2018-01-11T00:00:00"/>
    <d v="2018-02-06T00:00:00"/>
    <n v="13775500000"/>
    <n v="45"/>
    <s v="ajustes estructurador para secop ii desde el 23/01/2018 - firmas el 06/02/2018 - el 07/02/2018 solicitud de cdp el 06/02/2018 17:00 horas allegado a las 0800 del 08/02/2018 - se pasó pliego borrador asjur el 07/02/2018 a las 1100 horas - devuelto asjur el 09/02/2018 10:00 horas - se pasó asjur el 10/02/2018 ajustado 1600 horas - se trabajó a la mano se le paso a firma de mi car torres el 14022018 a las 15:00 horas- se publicó el día  16-02-2018  pliego de borrador - pliego definitivo y respuesta observaciones para el 28/02/2018.  Sorteo 22/03/2018 09:00 horas - respuesta observaciones pliego definitivo 28/03/2018.  Pendiente para el 18/04/2018 realizar segundas evaluaciones y ajustar cronograma mediante adenda. - se realizan terceras evaluaciones el 24/04/2018 - DESIERTO pendiente comité"/>
    <s v="INFRAESTRUCTURA"/>
    <x v="0"/>
    <s v="SC. LUNA"/>
    <s v="TE. BERNAL"/>
    <s v="PT. SANDRA"/>
    <s v="PN DIRAF SA MC 024 2018"/>
    <s v="ENERO"/>
    <d v="2018-01-15T00:00:00"/>
    <d v="2018-02-05T00:00:00"/>
    <d v="1900-02-23T00:00:00"/>
    <d v="2018-04-01T00:00:00"/>
    <s v="ABRIL"/>
    <d v="2018-06-01T00:00:00"/>
    <m/>
    <m/>
    <m/>
    <m/>
    <m/>
    <m/>
    <m/>
    <m/>
    <m/>
    <m/>
    <n v="5000000000"/>
    <n v="10000"/>
    <n v="5000"/>
    <m/>
    <m/>
    <m/>
    <m/>
    <n v="5000000000"/>
    <s v="PROCESO DE SELECCIÓN"/>
  </r>
  <r>
    <n v="2"/>
    <n v="6"/>
    <s v="DIRAF"/>
    <s v="REGIÓN 9"/>
    <s v="DIRECCIÓN ADMINISTRATIVA Y FINANCIERA"/>
    <s v="800141397-5"/>
    <m/>
    <m/>
    <m/>
    <s v="GUSEP"/>
    <s v="ARINF"/>
    <s v="CONSTRUCCIÓN FASE IV SAN ANDRÉS "/>
    <m/>
    <n v="50000"/>
    <m/>
    <n v="50000"/>
    <n v="50000"/>
    <n v="12000000000"/>
    <n v="12000050000"/>
    <m/>
    <n v="285789"/>
    <d v="2018-01-19T00:00:00"/>
    <d v="2018-02-09T00:00:00"/>
    <n v="11999999034.780001"/>
    <n v="49"/>
    <s v="Devuelto al estructurador desde el 29/01/2018 - el 060218 a las 14:00 horas el sr si julio g. se encuentra ajustándolo en coordinación con el sc luna - solicitud de cdp el 09/02/2018 a las 18:00 horas - allegado el 10/02/2018 a las 1400 horas. se pasa a asjur el 12/02/2018 12:0 horas - devuelto a gupre el 13022018 a las 16:00 - ajustes gupre para pasar a asjur a las 16:30 del 14022018 - visto bueno para publicar el 19/02/2018 10:00 horas - se publicó pliego de borrador el 19-02-2018 - pliego definitivo 08/03/2018. sorteo 15/03/2018 - respuesta observaciones al pliego definitivo 22/03/2018 19:00 horas - presentación de ofertas el 27/03/2018. Se encuentra pendiente de adjudicación para el 18/04/2018 - resolución aclaratoria en ASJUR desde el 20/04/2018 "/>
    <s v="INFRAESTRUCTURA"/>
    <x v="0"/>
    <s v="SC. LUNA"/>
    <s v="TE. BERNAL"/>
    <s v="PT. SANDRA"/>
    <s v="PN DIRAF SA MC 029 2018"/>
    <s v="ENERO"/>
    <d v="2018-01-15T00:00:00"/>
    <d v="2018-02-05T00:00:00"/>
    <d v="1900-02-23T00:00:00"/>
    <d v="2018-04-01T00:00:00"/>
    <s v="ABRIL"/>
    <d v="2018-06-01T00:00:00"/>
    <m/>
    <s v="TE. YULY"/>
    <m/>
    <m/>
    <m/>
    <m/>
    <m/>
    <m/>
    <m/>
    <m/>
    <n v="10000"/>
    <n v="10000"/>
    <m/>
    <m/>
    <m/>
    <m/>
    <m/>
    <n v="10000"/>
    <s v="PROCESO DE SELECCIÓN"/>
  </r>
  <r>
    <n v="3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n v="10000"/>
    <n v="10000"/>
    <m/>
    <m/>
    <m/>
    <m/>
    <m/>
    <n v="10000"/>
    <s v="PROCESO DE SELECCIÓN"/>
  </r>
  <r>
    <n v="4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n v="10000"/>
    <n v="10000"/>
    <m/>
    <m/>
    <m/>
    <m/>
    <m/>
    <n v="10000"/>
    <s v="PROCESO DE SELECCIÓN"/>
  </r>
  <r>
    <n v="5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n v="10000"/>
    <n v="10000"/>
    <m/>
    <m/>
    <m/>
    <m/>
    <m/>
    <n v="10000"/>
    <s v="PROCESO DE SELECCIÓN"/>
  </r>
  <r>
    <n v="6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n v="10000"/>
    <n v="10000"/>
    <m/>
    <m/>
    <m/>
    <m/>
    <m/>
    <n v="10000"/>
    <s v="PROCESO DE SELECCIÓN"/>
  </r>
  <r>
    <n v="7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8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9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10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11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12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n v="13"/>
    <n v="6"/>
    <s v="DIRAF"/>
    <s v="REGIÓN 9"/>
    <s v="DIRECCIÓN ADMINISTRATIVA Y FINANCIERA"/>
    <s v="800141397-5"/>
    <m/>
    <m/>
    <m/>
    <s v="GUSEP"/>
    <s v="ARINF"/>
    <s v="Continuación construcción estación de policía No. 8 -MECAR "/>
    <m/>
    <m/>
    <m/>
    <n v="0"/>
    <n v="0"/>
    <n v="11056999147.35"/>
    <n v="11056999147.35"/>
    <m/>
    <n v="284669"/>
    <d v="2018-01-15T00:00:00"/>
    <d v="2018-02-06T00:00:00"/>
    <n v="11056993905.870001"/>
    <n v="43"/>
    <s v="ajustes eco en valor por una visita realizada desde el 23/01/2018 - solicitud de cdp el 06/02/2018 a las 16:00 horas - allegado el 09/02/2018 07:0 horas - se pasó pliego borrador el 10/02/2018 a las 17:00 a asjur. - para radicar en asjur el 14/02/2018 a las 16: 00 horas. - se publicó pliego de borrador el día 19-02-2018 - rta observaciones el 28/02/2018 - pliego definitivo para publicar el 14/03/2018.  sorteo 22/03/2018 09:00 horas - respuesta observaciones y plazo de adendas 02/04/2018 19:00 horas - el 24/04/2018 se publica resolución de adjudicación - el 25/04/2018 se pasa a elaboración de minuta,_x000a_Se asigna para elaboración minuta el día 25/04/2018 - "/>
    <s v="INFRAESTRUCTURA"/>
    <x v="0"/>
    <s v="SC. LUNA"/>
    <s v="TE. BERNAL"/>
    <s v="APA 12. DIANA ORTIZ"/>
    <s v="PN DIRAF SA MC 027 2018"/>
    <s v="ENERO"/>
    <d v="2018-01-15T00:00:00"/>
    <d v="2018-02-05T00:00:00"/>
    <d v="1900-02-23T00:00:00"/>
    <d v="2018-04-01T00:00:00"/>
    <s v="ABRIL"/>
    <d v="2018-05-01T00:00:00"/>
    <m/>
    <s v="MARCELA"/>
    <m/>
    <m/>
    <m/>
    <m/>
    <m/>
    <m/>
    <m/>
    <m/>
    <m/>
    <n v="10000"/>
    <m/>
    <m/>
    <m/>
    <m/>
    <m/>
    <n v="0"/>
    <s v="PROCESO DE SELECCIÓN"/>
  </r>
  <r>
    <m/>
    <m/>
    <m/>
    <m/>
    <m/>
    <m/>
    <m/>
    <m/>
    <m/>
    <m/>
    <m/>
    <m/>
    <m/>
    <m/>
    <m/>
    <m/>
    <m/>
    <m/>
    <m/>
    <m/>
    <m/>
    <m/>
    <m/>
    <m/>
    <m/>
    <m/>
    <m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 dinámica12" cacheId="4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61:F64" firstHeaderRow="0" firstDataRow="1" firstDataCol="1"/>
  <pivotFields count="58"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/>
    <pivotField showAll="0"/>
    <pivotField showAll="0"/>
    <pivotField showAll="0"/>
    <pivotField showAll="0"/>
    <pivotField numFmtId="44" showAll="0" defaultSubtotal="0"/>
    <pivotField dataField="1" numFmtId="44" showAll="0"/>
    <pivotField dataField="1" showAll="0"/>
    <pivotField dataField="1" showAll="0"/>
    <pivotField showAll="0"/>
    <pivotField showAll="0"/>
    <pivotField showAll="0"/>
    <pivotField numFmtId="14" showAll="0" defaultSubtotal="0"/>
    <pivotField showAll="0"/>
    <pivotField showAll="0"/>
    <pivotField showAll="0"/>
    <pivotField showAll="0"/>
    <pivotField axis="axisRow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showAll="0" defaultSubtotal="0"/>
  </pivotFields>
  <rowFields count="1">
    <field x="27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UNIDAD " fld="9" subtotal="count" baseField="27" baseItem="0"/>
    <dataField name=" VALOR TOTAL " fld="18" baseField="20" baseItem="0" numFmtId="165"/>
    <dataField name=" GASTOS GENERALES " fld="16" baseField="20" baseItem="4" numFmtId="165"/>
    <dataField name=" INVERSIÓN" fld="17" baseField="20" baseItem="0" numFmtId="165"/>
  </dataFields>
  <formats count="11">
    <format dxfId="10">
      <pivotArea field="27" type="button" dataOnly="0" labelOnly="1" outline="0" axis="axisRow" fieldPosition="0"/>
    </format>
    <format dxfId="9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8">
      <pivotArea grandRow="1" outline="0" collapsedLevelsAreSubtotals="1" fieldPosition="0"/>
    </format>
    <format dxfId="7">
      <pivotArea dataOnly="0" labelOnly="1" grandRow="1" outline="0" fieldPosition="0"/>
    </format>
    <format dxfId="6">
      <pivotArea outline="0" fieldPosition="0">
        <references count="1">
          <reference field="4294967294" count="1">
            <x v="2"/>
          </reference>
        </references>
      </pivotArea>
    </format>
    <format dxfId="5">
      <pivotArea field="27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3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7" count="1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10" cacheId="4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43:D46" firstHeaderRow="0" firstDataRow="1" firstDataCol="1"/>
  <pivotFields count="58"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axis="axisRow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27"/>
  </rowFields>
  <rowItems count="3">
    <i>
      <x v="1"/>
    </i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UNIDAD " fld="9" subtotal="count" baseField="27" baseItem="1"/>
    <dataField name=" VALOR TOTAL CONTRATADO" fld="49" baseField="21" baseItem="0" numFmtId="165"/>
  </dataFields>
  <formats count="20">
    <format dxfId="30">
      <pivotArea field="27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8">
      <pivotArea field="27" type="button" dataOnly="0" labelOnly="1" outline="0" axis="axisRow" fieldPosition="0"/>
    </format>
    <format dxfId="2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6">
      <pivotArea field="27" type="button" dataOnly="0" labelOnly="1" outline="0" axis="axisRow" fieldPosition="0"/>
    </format>
    <format dxfId="2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4">
      <pivotArea grandRow="1" outline="0" collapsedLevelsAreSubtotals="1" fieldPosition="0"/>
    </format>
    <format dxfId="23">
      <pivotArea dataOnly="0" labelOnly="1" grandRow="1" outline="0" fieldPosition="0"/>
    </format>
    <format dxfId="22">
      <pivotArea grandRow="1" outline="0" collapsedLevelsAreSubtotals="1" fieldPosition="0"/>
    </format>
    <format dxfId="21">
      <pivotArea dataOnly="0" labelOnly="1" grandRow="1" outline="0" fieldPosition="0"/>
    </format>
    <format dxfId="20">
      <pivotArea grandRow="1" outline="0" collapsedLevelsAreSubtotals="1" fieldPosition="0"/>
    </format>
    <format dxfId="19">
      <pivotArea dataOnly="0" labelOnly="1" grandRow="1" outline="0" fieldPosition="0"/>
    </format>
    <format dxfId="18">
      <pivotArea field="27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">
      <pivotArea field="27" type="button" dataOnly="0" labelOnly="1" outline="0" axis="axisRow" fieldPosition="0"/>
    </format>
    <format dxfId="1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4">
      <pivotArea collapsedLevelsAreSubtotals="1" fieldPosition="0">
        <references count="2">
          <reference field="4294967294" count="1" selected="0">
            <x v="1"/>
          </reference>
          <reference field="27" count="0"/>
        </references>
      </pivotArea>
    </format>
    <format dxfId="1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Tabla dinámica8" cacheId="4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5">
  <location ref="B27:F30" firstHeaderRow="0" firstDataRow="1" firstDataCol="1"/>
  <pivotFields count="58"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/>
    <pivotField showAll="0"/>
    <pivotField showAll="0"/>
    <pivotField showAll="0"/>
    <pivotField showAll="0"/>
    <pivotField numFmtId="44" showAll="0" defaultSubtotal="0"/>
    <pivotField dataField="1" numFmtId="44" showAll="0"/>
    <pivotField dataField="1" showAll="0"/>
    <pivotField dataField="1" showAll="0"/>
    <pivotField showAll="0"/>
    <pivotField showAll="0"/>
    <pivotField showAll="0"/>
    <pivotField numFmtId="14" showAll="0" defaultSubtotal="0"/>
    <pivotField showAll="0"/>
    <pivotField showAll="0"/>
    <pivotField showAll="0"/>
    <pivotField showAll="0"/>
    <pivotField axis="axisRow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showAll="0" defaultSubtotal="0"/>
  </pivotFields>
  <rowFields count="1">
    <field x="27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ant." fld="9" subtotal="count" baseField="27" baseItem="0"/>
    <dataField name=" VALOR TOTAL " fld="18" baseField="21" baseItem="0" numFmtId="165"/>
    <dataField name=" GASTOS GENERALES " fld="16" baseField="21" baseItem="0" numFmtId="165"/>
    <dataField name=" INVERSIÓN" fld="17" baseField="21" baseItem="0" numFmtId="165"/>
  </dataFields>
  <formats count="15">
    <format dxfId="45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44">
      <pivotArea field="27" type="button" dataOnly="0" labelOnly="1" outline="0" axis="axisRow" fieldPosition="0"/>
    </format>
    <format dxfId="43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42">
      <pivotArea grandRow="1" outline="0" collapsedLevelsAreSubtotals="1" fieldPosition="0"/>
    </format>
    <format dxfId="41">
      <pivotArea dataOnly="0" labelOnly="1" grandRow="1" outline="0" fieldPosition="0"/>
    </format>
    <format dxfId="40">
      <pivotArea grandRow="1" outline="0" collapsedLevelsAreSubtotals="1" fieldPosition="0"/>
    </format>
    <format dxfId="39">
      <pivotArea dataOnly="0" labelOnly="1" grandRow="1" outline="0" fieldPosition="0"/>
    </format>
    <format dxfId="38">
      <pivotArea grandRow="1" outline="0" collapsedLevelsAreSubtotals="1" fieldPosition="0"/>
    </format>
    <format dxfId="37">
      <pivotArea dataOnly="0" labelOnly="1" grandRow="1" outline="0" fieldPosition="0"/>
    </format>
    <format dxfId="36">
      <pivotArea field="27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34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7" count="0"/>
        </references>
      </pivotArea>
    </format>
    <format dxfId="3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1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Tabla dinámica14" cacheId="4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91:F94" firstHeaderRow="0" firstDataRow="1" firstDataCol="1"/>
  <pivotFields count="58"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/>
    <pivotField showAll="0"/>
    <pivotField showAll="0"/>
    <pivotField showAll="0"/>
    <pivotField showAll="0"/>
    <pivotField numFmtId="44" showAll="0" defaultSubtotal="0"/>
    <pivotField dataField="1" numFmtId="44" showAll="0"/>
    <pivotField dataField="1" showAll="0"/>
    <pivotField dataField="1" showAll="0"/>
    <pivotField showAll="0"/>
    <pivotField showAll="0"/>
    <pivotField showAll="0"/>
    <pivotField numFmtId="14" showAll="0" defaultSubtotal="0"/>
    <pivotField showAll="0"/>
    <pivotField showAll="0"/>
    <pivotField showAll="0"/>
    <pivotField showAll="0"/>
    <pivotField axis="axisRow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showAll="0" defaultSubtotal="0"/>
  </pivotFields>
  <rowFields count="1">
    <field x="27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UNIDAD " fld="9" subtotal="count" baseField="27" baseItem="0"/>
    <dataField name=" VALOR TOTAL " fld="18" baseField="20" baseItem="0" numFmtId="165"/>
    <dataField name=" GASTOS GENERALES " fld="16" baseField="20" baseItem="4" numFmtId="165"/>
    <dataField name=" INVERSIÓN" fld="17" baseField="20" baseItem="0" numFmtId="165"/>
  </dataFields>
  <formats count="9">
    <format dxfId="54">
      <pivotArea field="27" type="button" dataOnly="0" labelOnly="1" outline="0" axis="axisRow" fieldPosition="0"/>
    </format>
    <format dxfId="53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52">
      <pivotArea grandRow="1" outline="0" collapsedLevelsAreSubtotals="1" fieldPosition="0"/>
    </format>
    <format dxfId="51">
      <pivotArea dataOnly="0" labelOnly="1" grandRow="1" outline="0" fieldPosition="0"/>
    </format>
    <format dxfId="50">
      <pivotArea outline="0" fieldPosition="0">
        <references count="1">
          <reference field="4294967294" count="1">
            <x v="2"/>
          </reference>
        </references>
      </pivotArea>
    </format>
    <format dxfId="49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7" count="1">
            <x v="0"/>
          </reference>
        </references>
      </pivotArea>
    </format>
    <format dxfId="4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Tabla dinámica13" cacheId="4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75:F78" firstHeaderRow="0" firstDataRow="1" firstDataCol="1"/>
  <pivotFields count="58"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/>
    <pivotField showAll="0"/>
    <pivotField showAll="0"/>
    <pivotField showAll="0"/>
    <pivotField showAll="0"/>
    <pivotField showAll="0"/>
    <pivotField numFmtId="44" showAll="0" defaultSubtotal="0"/>
    <pivotField dataField="1" numFmtId="44" showAll="0"/>
    <pivotField dataField="1" showAll="0"/>
    <pivotField dataField="1" showAll="0"/>
    <pivotField showAll="0"/>
    <pivotField showAll="0"/>
    <pivotField showAll="0"/>
    <pivotField numFmtId="14" showAll="0" defaultSubtota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showAll="0" defaultSubtotal="0"/>
  </pivotFields>
  <rowFields count="1">
    <field x="27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UNIDAD " fld="9" subtotal="count" baseField="27" baseItem="0"/>
    <dataField name=" VALOR TOTAL " fld="18" baseField="20" baseItem="0" numFmtId="165"/>
    <dataField name=" GASTOS GENERALES " fld="16" baseField="20" baseItem="4" numFmtId="165"/>
    <dataField name=" INVERSIÓN" fld="17" baseField="20" baseItem="0" numFmtId="165"/>
  </dataFields>
  <formats count="10">
    <format dxfId="64">
      <pivotArea field="27" type="button" dataOnly="0" labelOnly="1" outline="0" axis="axisRow" fieldPosition="0"/>
    </format>
    <format dxfId="63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62">
      <pivotArea grandRow="1" outline="0" collapsedLevelsAreSubtotals="1" fieldPosition="0"/>
    </format>
    <format dxfId="61">
      <pivotArea dataOnly="0" labelOnly="1" grandRow="1" outline="0" fieldPosition="0"/>
    </format>
    <format dxfId="60">
      <pivotArea outline="0" fieldPosition="0">
        <references count="1">
          <reference field="4294967294" count="1">
            <x v="2"/>
          </reference>
        </references>
      </pivotArea>
    </format>
    <format dxfId="59">
      <pivotArea field="27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5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55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Tabla dinámica15" cacheId="4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>
  <location ref="B106:F109" firstHeaderRow="0" firstDataRow="1" firstDataCol="1"/>
  <pivotFields count="58">
    <pivotField showAl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numFmtId="44" showAll="0" defaultSubtotal="0"/>
    <pivotField dataField="1" numFmtId="44" showAll="0"/>
    <pivotField dataField="1" showAll="0"/>
    <pivotField dataField="1" showAll="0"/>
    <pivotField showAll="0"/>
    <pivotField showAll="0"/>
    <pivotField showAll="0"/>
    <pivotField numFmtId="14" showAll="0" defaultSubtotal="0"/>
    <pivotField showAll="0"/>
    <pivotField showAll="0"/>
    <pivotField showAll="0"/>
    <pivotField showAll="0"/>
    <pivotField axis="axisRow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showAll="0" defaultSubtotal="0"/>
  </pivotFields>
  <rowFields count="1">
    <field x="27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UNIDAD " fld="2" subtotal="count" baseField="27" baseItem="0"/>
    <dataField name=" VALOR TOTAL " fld="18" baseField="20" baseItem="0" numFmtId="165"/>
    <dataField name=" GASTOS GENERALES " fld="16" baseField="20" baseItem="4" numFmtId="165"/>
    <dataField name=" INVERSIÓN" fld="17" baseField="20" baseItem="0" numFmtId="165"/>
  </dataFields>
  <formats count="9">
    <format dxfId="73">
      <pivotArea field="27" type="button" dataOnly="0" labelOnly="1" outline="0" axis="axisRow" fieldPosition="0"/>
    </format>
    <format dxfId="72">
      <pivotArea dataOnly="0" labelOnly="1" outline="0" fieldPosition="0">
        <references count="1">
          <reference field="4294967294" count="3">
            <x v="1"/>
            <x v="2"/>
            <x v="3"/>
          </reference>
        </references>
      </pivotArea>
    </format>
    <format dxfId="71">
      <pivotArea grandRow="1" outline="0" collapsedLevelsAreSubtotals="1" fieldPosition="0"/>
    </format>
    <format dxfId="70">
      <pivotArea dataOnly="0" labelOnly="1" grandRow="1" outline="0" fieldPosition="0"/>
    </format>
    <format dxfId="69">
      <pivotArea outline="0" fieldPosition="0">
        <references count="1">
          <reference field="4294967294" count="1">
            <x v="2"/>
          </reference>
        </references>
      </pivotArea>
    </format>
    <format dxfId="68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27" count="1">
            <x v="0"/>
          </reference>
        </references>
      </pivotArea>
    </format>
    <format dxfId="6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5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iraf.arcon-jefat@policia.gov.co" TargetMode="External"/><Relationship Id="rId21" Type="http://schemas.openxmlformats.org/officeDocument/2006/relationships/hyperlink" Target="mailto:rocio.cubillos@correo.policia.gov.co" TargetMode="External"/><Relationship Id="rId42" Type="http://schemas.openxmlformats.org/officeDocument/2006/relationships/hyperlink" Target="mailto:diraf.arcon-jefat@policia.gov.co" TargetMode="External"/><Relationship Id="rId47" Type="http://schemas.openxmlformats.org/officeDocument/2006/relationships/hyperlink" Target="mailto:rocio.cubillos@correo.policia.gov.co" TargetMode="External"/><Relationship Id="rId63" Type="http://schemas.openxmlformats.org/officeDocument/2006/relationships/hyperlink" Target="mailto:rocio.cubillos@correo.policia.gov.co" TargetMode="External"/><Relationship Id="rId68" Type="http://schemas.openxmlformats.org/officeDocument/2006/relationships/hyperlink" Target="mailto:diraf.arcon-jefat@policia.gov.co" TargetMode="External"/><Relationship Id="rId2" Type="http://schemas.openxmlformats.org/officeDocument/2006/relationships/hyperlink" Target="mailto:diraf.arcon-jefat@policia.gov.co" TargetMode="External"/><Relationship Id="rId16" Type="http://schemas.openxmlformats.org/officeDocument/2006/relationships/hyperlink" Target="mailto:diraf.arcon-jefat@policia.gov.co" TargetMode="External"/><Relationship Id="rId29" Type="http://schemas.openxmlformats.org/officeDocument/2006/relationships/hyperlink" Target="mailto:rocio.cubillos@correo.policia.gov.co" TargetMode="External"/><Relationship Id="rId11" Type="http://schemas.openxmlformats.org/officeDocument/2006/relationships/hyperlink" Target="mailto:rocio.cubillos@correo.policia.gov.co" TargetMode="External"/><Relationship Id="rId24" Type="http://schemas.openxmlformats.org/officeDocument/2006/relationships/hyperlink" Target="mailto:rocio.cubillos@correo.policia.gov.co" TargetMode="External"/><Relationship Id="rId32" Type="http://schemas.openxmlformats.org/officeDocument/2006/relationships/hyperlink" Target="mailto:diraf.arcon-jefat@policia.gov.co" TargetMode="External"/><Relationship Id="rId37" Type="http://schemas.openxmlformats.org/officeDocument/2006/relationships/hyperlink" Target="mailto:rocio.cubillos@correo.policia.gov.co" TargetMode="External"/><Relationship Id="rId40" Type="http://schemas.openxmlformats.org/officeDocument/2006/relationships/hyperlink" Target="mailto:diraf.arcon-jefat@policia.gov.co" TargetMode="External"/><Relationship Id="rId45" Type="http://schemas.openxmlformats.org/officeDocument/2006/relationships/hyperlink" Target="mailto:rocio.cubillos@correo.policia.gov.co" TargetMode="External"/><Relationship Id="rId53" Type="http://schemas.openxmlformats.org/officeDocument/2006/relationships/hyperlink" Target="mailto:rocio.cubillos@correo.policia.gov.co" TargetMode="External"/><Relationship Id="rId58" Type="http://schemas.openxmlformats.org/officeDocument/2006/relationships/hyperlink" Target="mailto:diraf.arcon-jefat@policia.gov.co" TargetMode="External"/><Relationship Id="rId66" Type="http://schemas.openxmlformats.org/officeDocument/2006/relationships/hyperlink" Target="mailto:diraf.arcon-jefat@policia.gov.co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mailto:rocio.cubillos@correo.policia.gov.co" TargetMode="External"/><Relationship Id="rId61" Type="http://schemas.openxmlformats.org/officeDocument/2006/relationships/hyperlink" Target="mailto:rocio.cubillos@correo.policia.gov.co" TargetMode="External"/><Relationship Id="rId19" Type="http://schemas.openxmlformats.org/officeDocument/2006/relationships/hyperlink" Target="mailto:rocio.cubillos@correo.policia.gov.co" TargetMode="External"/><Relationship Id="rId14" Type="http://schemas.openxmlformats.org/officeDocument/2006/relationships/hyperlink" Target="mailto:diraf.arcon-jefat@policia.gov.co" TargetMode="External"/><Relationship Id="rId22" Type="http://schemas.openxmlformats.org/officeDocument/2006/relationships/hyperlink" Target="mailto:rocio.cubillos@correo.policia.gov.co" TargetMode="External"/><Relationship Id="rId27" Type="http://schemas.openxmlformats.org/officeDocument/2006/relationships/hyperlink" Target="mailto:rocio.cubillos@correo.policia.gov.co" TargetMode="External"/><Relationship Id="rId30" Type="http://schemas.openxmlformats.org/officeDocument/2006/relationships/hyperlink" Target="mailto:diraf.arcon-jefat@policia.gov.co" TargetMode="External"/><Relationship Id="rId35" Type="http://schemas.openxmlformats.org/officeDocument/2006/relationships/hyperlink" Target="mailto:rocio.cubillos@correo.policia.gov.co" TargetMode="External"/><Relationship Id="rId43" Type="http://schemas.openxmlformats.org/officeDocument/2006/relationships/hyperlink" Target="mailto:rocio.cubillos@correo.policia.gov.co" TargetMode="External"/><Relationship Id="rId48" Type="http://schemas.openxmlformats.org/officeDocument/2006/relationships/hyperlink" Target="mailto:diraf.arcon-jefat@policia.gov.co" TargetMode="External"/><Relationship Id="rId56" Type="http://schemas.openxmlformats.org/officeDocument/2006/relationships/hyperlink" Target="mailto:diraf.arcon-jefat@policia.gov.co" TargetMode="External"/><Relationship Id="rId64" Type="http://schemas.openxmlformats.org/officeDocument/2006/relationships/hyperlink" Target="mailto:diraf.arcon-jefat@policia.gov.co" TargetMode="External"/><Relationship Id="rId69" Type="http://schemas.openxmlformats.org/officeDocument/2006/relationships/hyperlink" Target="mailto:rocio.cubillos@correo.policia.gov.co" TargetMode="External"/><Relationship Id="rId8" Type="http://schemas.openxmlformats.org/officeDocument/2006/relationships/hyperlink" Target="mailto:diraf.arcon-jefat@policia.gov.co" TargetMode="External"/><Relationship Id="rId51" Type="http://schemas.openxmlformats.org/officeDocument/2006/relationships/hyperlink" Target="mailto:rocio.cubillos@correo.policia.gov.co" TargetMode="External"/><Relationship Id="rId72" Type="http://schemas.openxmlformats.org/officeDocument/2006/relationships/hyperlink" Target="mailto:diraf.arcon-jefat@policia.gov.co" TargetMode="External"/><Relationship Id="rId3" Type="http://schemas.openxmlformats.org/officeDocument/2006/relationships/hyperlink" Target="mailto:rocio.cubillos@correo.policia.gov.co" TargetMode="External"/><Relationship Id="rId12" Type="http://schemas.openxmlformats.org/officeDocument/2006/relationships/hyperlink" Target="mailto:diraf.arcon-jefat@policia.gov.co" TargetMode="External"/><Relationship Id="rId17" Type="http://schemas.openxmlformats.org/officeDocument/2006/relationships/hyperlink" Target="mailto:rocio.cubillos@correo.policia.gov.co" TargetMode="External"/><Relationship Id="rId25" Type="http://schemas.openxmlformats.org/officeDocument/2006/relationships/hyperlink" Target="mailto:rocio.cubillos@correo.policia.gov.co" TargetMode="External"/><Relationship Id="rId33" Type="http://schemas.openxmlformats.org/officeDocument/2006/relationships/hyperlink" Target="mailto:rocio.cubillos@correo.policia.gov.co" TargetMode="External"/><Relationship Id="rId38" Type="http://schemas.openxmlformats.org/officeDocument/2006/relationships/hyperlink" Target="mailto:diraf.arcon-jefat@policia.gov.co" TargetMode="External"/><Relationship Id="rId46" Type="http://schemas.openxmlformats.org/officeDocument/2006/relationships/hyperlink" Target="mailto:diraf.arcon-jefat@policia.gov.co" TargetMode="External"/><Relationship Id="rId59" Type="http://schemas.openxmlformats.org/officeDocument/2006/relationships/hyperlink" Target="mailto:rocio.cubillos@correo.policia.gov.co" TargetMode="External"/><Relationship Id="rId67" Type="http://schemas.openxmlformats.org/officeDocument/2006/relationships/hyperlink" Target="mailto:rocio.cubillos@correo.policia.gov.co" TargetMode="External"/><Relationship Id="rId20" Type="http://schemas.openxmlformats.org/officeDocument/2006/relationships/hyperlink" Target="mailto:diraf.arcon-jefat@policia.gov.co" TargetMode="External"/><Relationship Id="rId41" Type="http://schemas.openxmlformats.org/officeDocument/2006/relationships/hyperlink" Target="mailto:rocio.cubillos@correo.policia.gov.co" TargetMode="External"/><Relationship Id="rId54" Type="http://schemas.openxmlformats.org/officeDocument/2006/relationships/hyperlink" Target="mailto:diraf.arcon-jefat@policia.gov.co" TargetMode="External"/><Relationship Id="rId62" Type="http://schemas.openxmlformats.org/officeDocument/2006/relationships/hyperlink" Target="mailto:diraf.arcon-jefat@policia.gov.co" TargetMode="External"/><Relationship Id="rId70" Type="http://schemas.openxmlformats.org/officeDocument/2006/relationships/hyperlink" Target="mailto:diraf.arcon-jefat@policia.gov.co" TargetMode="External"/><Relationship Id="rId75" Type="http://schemas.openxmlformats.org/officeDocument/2006/relationships/comments" Target="../comments1.xml"/><Relationship Id="rId1" Type="http://schemas.openxmlformats.org/officeDocument/2006/relationships/hyperlink" Target="mailto:rocio.cubillos@correo.policia.gov.co" TargetMode="External"/><Relationship Id="rId6" Type="http://schemas.openxmlformats.org/officeDocument/2006/relationships/hyperlink" Target="mailto:diraf.arcon-jefat@policia.gov.co" TargetMode="External"/><Relationship Id="rId15" Type="http://schemas.openxmlformats.org/officeDocument/2006/relationships/hyperlink" Target="mailto:rocio.cubillos@correo.policia.gov.co" TargetMode="External"/><Relationship Id="rId23" Type="http://schemas.openxmlformats.org/officeDocument/2006/relationships/hyperlink" Target="mailto:diraf.arcon-jefat@policia.gov.co" TargetMode="External"/><Relationship Id="rId28" Type="http://schemas.openxmlformats.org/officeDocument/2006/relationships/hyperlink" Target="mailto:diraf.arcon-jefat@policia.gov.co" TargetMode="External"/><Relationship Id="rId36" Type="http://schemas.openxmlformats.org/officeDocument/2006/relationships/hyperlink" Target="mailto:diraf.arcon-jefat@policia.gov.co" TargetMode="External"/><Relationship Id="rId49" Type="http://schemas.openxmlformats.org/officeDocument/2006/relationships/hyperlink" Target="mailto:rocio.cubillos@correo.policia.gov.co" TargetMode="External"/><Relationship Id="rId57" Type="http://schemas.openxmlformats.org/officeDocument/2006/relationships/hyperlink" Target="mailto:rocio.cubillos@correo.policia.gov.co" TargetMode="External"/><Relationship Id="rId10" Type="http://schemas.openxmlformats.org/officeDocument/2006/relationships/hyperlink" Target="mailto:diraf.arcon-jefat@policia.gov.co" TargetMode="External"/><Relationship Id="rId31" Type="http://schemas.openxmlformats.org/officeDocument/2006/relationships/hyperlink" Target="mailto:rocio.cubillos@correo.policia.gov.co" TargetMode="External"/><Relationship Id="rId44" Type="http://schemas.openxmlformats.org/officeDocument/2006/relationships/hyperlink" Target="mailto:diraf.arcon-jefat@policia.gov.co" TargetMode="External"/><Relationship Id="rId52" Type="http://schemas.openxmlformats.org/officeDocument/2006/relationships/hyperlink" Target="mailto:diraf.arcon-jefat@policia.gov.co" TargetMode="External"/><Relationship Id="rId60" Type="http://schemas.openxmlformats.org/officeDocument/2006/relationships/hyperlink" Target="mailto:diraf.arcon-jefat@policia.gov.co" TargetMode="External"/><Relationship Id="rId65" Type="http://schemas.openxmlformats.org/officeDocument/2006/relationships/hyperlink" Target="mailto:rocio.cubillos@correo.policia.gov.co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diraf.arcon-jefat@policia.gov.co" TargetMode="External"/><Relationship Id="rId9" Type="http://schemas.openxmlformats.org/officeDocument/2006/relationships/hyperlink" Target="mailto:rocio.cubillos@correo.policia.gov.co" TargetMode="External"/><Relationship Id="rId13" Type="http://schemas.openxmlformats.org/officeDocument/2006/relationships/hyperlink" Target="mailto:rocio.cubillos@correo.policia.gov.co" TargetMode="External"/><Relationship Id="rId18" Type="http://schemas.openxmlformats.org/officeDocument/2006/relationships/hyperlink" Target="mailto:diraf.arcon-jefat@policia.gov.co" TargetMode="External"/><Relationship Id="rId39" Type="http://schemas.openxmlformats.org/officeDocument/2006/relationships/hyperlink" Target="mailto:rocio.cubillos@correo.policia.gov.co" TargetMode="External"/><Relationship Id="rId34" Type="http://schemas.openxmlformats.org/officeDocument/2006/relationships/hyperlink" Target="mailto:diraf.arcon-jefat@policia.gov.co" TargetMode="External"/><Relationship Id="rId50" Type="http://schemas.openxmlformats.org/officeDocument/2006/relationships/hyperlink" Target="mailto:diraf.arcon-jefat@policia.gov.co" TargetMode="External"/><Relationship Id="rId55" Type="http://schemas.openxmlformats.org/officeDocument/2006/relationships/hyperlink" Target="mailto:rocio.cubillos@correo.policia.gov.co" TargetMode="External"/><Relationship Id="rId7" Type="http://schemas.openxmlformats.org/officeDocument/2006/relationships/hyperlink" Target="mailto:rocio.cubillos@correo.policia.gov.co" TargetMode="External"/><Relationship Id="rId71" Type="http://schemas.openxmlformats.org/officeDocument/2006/relationships/hyperlink" Target="mailto:rocio.cubillos@correo.policia.gov.c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pivotTable" Target="../pivotTables/pivotTable3.xml"/><Relationship Id="rId7" Type="http://schemas.openxmlformats.org/officeDocument/2006/relationships/hyperlink" Target="mailto:rocio.cubillos@correo.policia.gov.co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BC46"/>
  <sheetViews>
    <sheetView showGridLines="0" tabSelected="1" topLeftCell="AN1" zoomScale="62" zoomScaleNormal="62" workbookViewId="0">
      <selection activeCell="BA3" sqref="BA3"/>
    </sheetView>
  </sheetViews>
  <sheetFormatPr baseColWidth="10" defaultRowHeight="15" x14ac:dyDescent="0.25"/>
  <cols>
    <col min="1" max="1" width="10" style="17" bestFit="1" customWidth="1"/>
    <col min="2" max="2" width="24.7109375" style="17" customWidth="1"/>
    <col min="3" max="3" width="22.7109375" style="17" customWidth="1"/>
    <col min="4" max="4" width="20" style="17" customWidth="1"/>
    <col min="5" max="5" width="59.5703125" style="17" customWidth="1"/>
    <col min="6" max="6" width="31.28515625" style="17" customWidth="1"/>
    <col min="7" max="7" width="59.7109375" style="17" customWidth="1"/>
    <col min="8" max="8" width="31.28515625" style="17" customWidth="1"/>
    <col min="9" max="9" width="52.140625" style="17" customWidth="1"/>
    <col min="10" max="10" width="37.140625" style="17" customWidth="1"/>
    <col min="11" max="11" width="19.85546875" customWidth="1"/>
    <col min="12" max="12" width="25.5703125" customWidth="1"/>
    <col min="13" max="13" width="125.85546875" style="16" bestFit="1" customWidth="1"/>
    <col min="14" max="14" width="27.42578125" bestFit="1" customWidth="1"/>
    <col min="15" max="15" width="20" style="14" bestFit="1" customWidth="1"/>
    <col min="16" max="16" width="18.85546875" style="14" bestFit="1" customWidth="1"/>
    <col min="17" max="17" width="27" style="14" bestFit="1" customWidth="1"/>
    <col min="18" max="18" width="27" style="14" customWidth="1"/>
    <col min="19" max="19" width="24.140625" style="14" customWidth="1"/>
    <col min="20" max="20" width="25.28515625" style="14" customWidth="1"/>
    <col min="21" max="21" width="28.7109375" bestFit="1" customWidth="1"/>
    <col min="22" max="22" width="37.42578125" bestFit="1" customWidth="1"/>
    <col min="23" max="23" width="56.28515625" bestFit="1" customWidth="1"/>
    <col min="24" max="24" width="30.28515625" style="14" bestFit="1" customWidth="1"/>
    <col min="25" max="25" width="22.42578125" customWidth="1"/>
    <col min="26" max="26" width="32" style="52" bestFit="1" customWidth="1"/>
    <col min="27" max="27" width="43.85546875" bestFit="1" customWidth="1"/>
    <col min="28" max="28" width="30.140625" bestFit="1" customWidth="1"/>
    <col min="29" max="29" width="30.5703125" style="15" bestFit="1" customWidth="1"/>
    <col min="30" max="30" width="29.85546875" style="15" bestFit="1" customWidth="1"/>
    <col min="31" max="31" width="36.42578125" style="15" bestFit="1" customWidth="1"/>
    <col min="32" max="32" width="35.28515625" bestFit="1" customWidth="1"/>
    <col min="33" max="33" width="24.28515625" style="14" customWidth="1"/>
    <col min="34" max="34" width="31.5703125" style="14" customWidth="1"/>
    <col min="35" max="35" width="33.85546875" style="52" bestFit="1" customWidth="1"/>
    <col min="36" max="36" width="33.85546875" style="14" hidden="1" customWidth="1"/>
    <col min="37" max="37" width="33.85546875" hidden="1" customWidth="1"/>
    <col min="38" max="38" width="106.85546875" customWidth="1"/>
    <col min="39" max="39" width="33.85546875" hidden="1" customWidth="1"/>
    <col min="40" max="40" width="56.42578125" customWidth="1"/>
    <col min="41" max="41" width="33.85546875" hidden="1" customWidth="1"/>
    <col min="42" max="42" width="54.5703125" customWidth="1"/>
    <col min="43" max="44" width="33.85546875" hidden="1" customWidth="1"/>
    <col min="45" max="45" width="34.85546875" style="14" hidden="1" customWidth="1"/>
    <col min="46" max="46" width="38.85546875" style="14" hidden="1" customWidth="1"/>
    <col min="47" max="47" width="36.42578125" style="14" hidden="1" customWidth="1"/>
    <col min="48" max="48" width="39.42578125" style="14" customWidth="1"/>
    <col min="49" max="52" width="33.85546875" style="14" customWidth="1"/>
    <col min="53" max="53" width="23.42578125" bestFit="1" customWidth="1"/>
    <col min="54" max="54" width="43.85546875" customWidth="1"/>
    <col min="55" max="55" width="34.42578125" customWidth="1"/>
  </cols>
  <sheetData>
    <row r="1" spans="1:55" s="43" customFormat="1" ht="96.75" customHeight="1" x14ac:dyDescent="0.25">
      <c r="A1" s="36" t="s">
        <v>147</v>
      </c>
      <c r="B1" s="36" t="s">
        <v>0</v>
      </c>
      <c r="C1" s="36" t="s">
        <v>259</v>
      </c>
      <c r="D1" s="36" t="s">
        <v>172</v>
      </c>
      <c r="E1" s="36" t="s">
        <v>171</v>
      </c>
      <c r="F1" s="36" t="s">
        <v>108</v>
      </c>
      <c r="G1" s="36" t="s">
        <v>244</v>
      </c>
      <c r="H1" s="36" t="s">
        <v>110</v>
      </c>
      <c r="I1" s="36" t="s">
        <v>260</v>
      </c>
      <c r="J1" s="36" t="s">
        <v>376</v>
      </c>
      <c r="K1" s="36" t="s">
        <v>1</v>
      </c>
      <c r="L1" s="36" t="s">
        <v>146</v>
      </c>
      <c r="M1" s="36" t="s">
        <v>384</v>
      </c>
      <c r="N1" s="36" t="s">
        <v>145</v>
      </c>
      <c r="O1" s="41" t="s">
        <v>144</v>
      </c>
      <c r="P1" s="41" t="s">
        <v>143</v>
      </c>
      <c r="Q1" s="41" t="s">
        <v>252</v>
      </c>
      <c r="R1" s="41" t="s">
        <v>142</v>
      </c>
      <c r="S1" s="41" t="s">
        <v>141</v>
      </c>
      <c r="T1" s="41" t="s">
        <v>140</v>
      </c>
      <c r="U1" s="36" t="s">
        <v>139</v>
      </c>
      <c r="V1" s="36" t="s">
        <v>378</v>
      </c>
      <c r="W1" s="36" t="s">
        <v>379</v>
      </c>
      <c r="X1" s="41" t="s">
        <v>137</v>
      </c>
      <c r="Y1" s="36" t="s">
        <v>136</v>
      </c>
      <c r="Z1" s="36" t="s">
        <v>135</v>
      </c>
      <c r="AA1" s="36" t="s">
        <v>134</v>
      </c>
      <c r="AB1" s="36" t="s">
        <v>381</v>
      </c>
      <c r="AC1" s="42" t="s">
        <v>382</v>
      </c>
      <c r="AD1" s="42" t="s">
        <v>383</v>
      </c>
      <c r="AE1" s="42" t="s">
        <v>133</v>
      </c>
      <c r="AF1" s="36" t="s">
        <v>132</v>
      </c>
      <c r="AG1" s="41" t="s">
        <v>131</v>
      </c>
      <c r="AH1" s="41" t="s">
        <v>261</v>
      </c>
      <c r="AI1" s="36" t="s">
        <v>130</v>
      </c>
      <c r="AJ1" s="41" t="s">
        <v>262</v>
      </c>
      <c r="AK1" s="41" t="s">
        <v>263</v>
      </c>
      <c r="AL1" s="41" t="s">
        <v>377</v>
      </c>
      <c r="AM1" s="41" t="s">
        <v>108</v>
      </c>
      <c r="AN1" s="41" t="s">
        <v>197</v>
      </c>
      <c r="AO1" s="41" t="s">
        <v>264</v>
      </c>
      <c r="AP1" s="41" t="s">
        <v>198</v>
      </c>
      <c r="AQ1" s="41" t="s">
        <v>385</v>
      </c>
      <c r="AR1" s="41" t="s">
        <v>386</v>
      </c>
      <c r="AS1" s="41" t="s">
        <v>113</v>
      </c>
      <c r="AT1" s="41" t="s">
        <v>277</v>
      </c>
      <c r="AU1" s="41" t="s">
        <v>278</v>
      </c>
      <c r="AV1" s="41" t="s">
        <v>257</v>
      </c>
      <c r="AW1" s="41" t="s">
        <v>258</v>
      </c>
      <c r="AX1" s="41" t="s">
        <v>199</v>
      </c>
      <c r="AY1" s="41" t="s">
        <v>200</v>
      </c>
      <c r="AZ1" s="41" t="s">
        <v>201</v>
      </c>
      <c r="BA1" s="36" t="s">
        <v>138</v>
      </c>
      <c r="BB1" s="36" t="s">
        <v>637</v>
      </c>
      <c r="BC1" s="36" t="s">
        <v>638</v>
      </c>
    </row>
    <row r="2" spans="1:55" s="69" customFormat="1" ht="130.5" customHeight="1" x14ac:dyDescent="0.25">
      <c r="A2" s="53">
        <v>1</v>
      </c>
      <c r="B2" s="54" t="s">
        <v>6</v>
      </c>
      <c r="C2" s="53">
        <f>IFERROR(VLOOKUP(B2,UNIDADES!$A:$F,2,FALSE)," ")</f>
        <v>21</v>
      </c>
      <c r="D2" s="53" t="str">
        <f>IFERROR(VLOOKUP(B2,UNIDADES!$A:$F,4,FALSE)," ")</f>
        <v>REGIÓN 7</v>
      </c>
      <c r="E2" s="53" t="str">
        <f>IFERROR(VLOOKUP(B2,UNIDADES!$A:$F,5,FALSE)," ")</f>
        <v>DEPARTAMENTO DE POLICÍA CASANARE</v>
      </c>
      <c r="F2" s="53" t="str">
        <f>IFERROR(VLOOKUP(B2,UNIDADES!$A:$F,6,FALSE)," ")</f>
        <v>844000016-1</v>
      </c>
      <c r="G2" s="55" t="s">
        <v>387</v>
      </c>
      <c r="H2" s="55">
        <v>3107749147</v>
      </c>
      <c r="I2" s="56" t="s">
        <v>388</v>
      </c>
      <c r="J2" s="56" t="s">
        <v>389</v>
      </c>
      <c r="K2" s="57" t="s">
        <v>392</v>
      </c>
      <c r="L2" s="57" t="s">
        <v>464</v>
      </c>
      <c r="M2" s="99" t="s">
        <v>547</v>
      </c>
      <c r="N2" s="58">
        <v>0</v>
      </c>
      <c r="O2" s="58">
        <v>483086409</v>
      </c>
      <c r="P2" s="61">
        <v>6750000</v>
      </c>
      <c r="Q2" s="59">
        <f t="shared" ref="Q2:Q17" si="0">+O2+P2</f>
        <v>489836409</v>
      </c>
      <c r="R2" s="59">
        <v>489836409</v>
      </c>
      <c r="S2" s="58">
        <v>0</v>
      </c>
      <c r="T2" s="59">
        <f>+R2+S2</f>
        <v>489836409</v>
      </c>
      <c r="U2" s="60">
        <v>0</v>
      </c>
      <c r="V2" s="55" t="s">
        <v>463</v>
      </c>
      <c r="W2" s="55" t="s">
        <v>463</v>
      </c>
      <c r="X2" s="61">
        <v>489836409</v>
      </c>
      <c r="Y2" s="55" t="s">
        <v>469</v>
      </c>
      <c r="Z2" s="62" t="s">
        <v>120</v>
      </c>
      <c r="AA2" s="49" t="s">
        <v>470</v>
      </c>
      <c r="AB2" s="55" t="s">
        <v>463</v>
      </c>
      <c r="AC2" s="55" t="s">
        <v>463</v>
      </c>
      <c r="AD2" s="55" t="s">
        <v>463</v>
      </c>
      <c r="AE2" s="55" t="s">
        <v>463</v>
      </c>
      <c r="AF2" s="55" t="s">
        <v>408</v>
      </c>
      <c r="AG2" s="63" t="str">
        <f t="shared" ref="AG2:AG8" si="1">IFERROR(IF(AK2&lt;=AE2,"CUMPLIO","NO CUMPLIO")," ")</f>
        <v>CUMPLIO</v>
      </c>
      <c r="AH2" s="64">
        <f t="shared" ref="AH2:AH30" si="2">X2-AS2</f>
        <v>0</v>
      </c>
      <c r="AI2" s="47" t="s">
        <v>476</v>
      </c>
      <c r="AJ2" s="55" t="s">
        <v>541</v>
      </c>
      <c r="AK2" s="48">
        <v>42971</v>
      </c>
      <c r="AL2" s="99" t="s">
        <v>542</v>
      </c>
      <c r="AM2" s="49" t="s">
        <v>482</v>
      </c>
      <c r="AN2" s="49" t="s">
        <v>483</v>
      </c>
      <c r="AO2" s="65" t="s">
        <v>414</v>
      </c>
      <c r="AP2" s="65" t="s">
        <v>484</v>
      </c>
      <c r="AQ2" s="61">
        <v>489836409</v>
      </c>
      <c r="AR2" s="60">
        <v>0</v>
      </c>
      <c r="AS2" s="59">
        <f t="shared" ref="AS2:AS8" si="3">+AQ2+AR2</f>
        <v>489836409</v>
      </c>
      <c r="AT2" s="61">
        <v>489836409</v>
      </c>
      <c r="AU2" s="58">
        <v>0</v>
      </c>
      <c r="AV2" s="66">
        <v>42976</v>
      </c>
      <c r="AW2" s="66">
        <v>43343</v>
      </c>
      <c r="AX2" s="54" t="s">
        <v>253</v>
      </c>
      <c r="AY2" s="67">
        <f>489836409</f>
        <v>489836409</v>
      </c>
      <c r="AZ2" s="68">
        <f t="shared" ref="AZ2" si="4">+AS2-AY2</f>
        <v>0</v>
      </c>
      <c r="BA2" s="54" t="s">
        <v>178</v>
      </c>
      <c r="BB2" s="137">
        <v>1</v>
      </c>
      <c r="BC2" s="137">
        <v>1</v>
      </c>
    </row>
    <row r="3" spans="1:55" s="69" customFormat="1" ht="121.5" customHeight="1" x14ac:dyDescent="0.25">
      <c r="A3" s="53">
        <f t="shared" ref="A3:A46" si="5">A2+1</f>
        <v>2</v>
      </c>
      <c r="B3" s="54" t="s">
        <v>6</v>
      </c>
      <c r="C3" s="53">
        <f>IFERROR(VLOOKUP(B3,UNIDADES!$A:$F,2,FALSE)," ")</f>
        <v>21</v>
      </c>
      <c r="D3" s="53" t="str">
        <f>IFERROR(VLOOKUP(B3,UNIDADES!$A:$F,4,FALSE)," ")</f>
        <v>REGIÓN 7</v>
      </c>
      <c r="E3" s="53" t="str">
        <f>IFERROR(VLOOKUP(B3,UNIDADES!$A:$F,5,FALSE)," ")</f>
        <v>DEPARTAMENTO DE POLICÍA CASANARE</v>
      </c>
      <c r="F3" s="53" t="str">
        <f>IFERROR(VLOOKUP(B3,UNIDADES!$A:$F,6,FALSE)," ")</f>
        <v>844000016-1</v>
      </c>
      <c r="G3" s="55" t="s">
        <v>387</v>
      </c>
      <c r="H3" s="55">
        <v>3107749147</v>
      </c>
      <c r="I3" s="56" t="s">
        <v>388</v>
      </c>
      <c r="J3" s="56" t="s">
        <v>389</v>
      </c>
      <c r="K3" s="57" t="s">
        <v>392</v>
      </c>
      <c r="L3" s="57" t="s">
        <v>464</v>
      </c>
      <c r="M3" s="99" t="s">
        <v>543</v>
      </c>
      <c r="N3" s="58">
        <v>0</v>
      </c>
      <c r="O3" s="58">
        <v>35000000</v>
      </c>
      <c r="P3" s="58"/>
      <c r="Q3" s="59">
        <f t="shared" si="0"/>
        <v>35000000</v>
      </c>
      <c r="R3" s="59">
        <v>35000000</v>
      </c>
      <c r="S3" s="58">
        <v>0</v>
      </c>
      <c r="T3" s="59">
        <f>+R3+S3</f>
        <v>35000000</v>
      </c>
      <c r="U3" s="60">
        <v>0</v>
      </c>
      <c r="V3" s="55" t="s">
        <v>463</v>
      </c>
      <c r="W3" s="55" t="s">
        <v>463</v>
      </c>
      <c r="X3" s="61">
        <v>35000000</v>
      </c>
      <c r="Y3" s="55" t="s">
        <v>469</v>
      </c>
      <c r="Z3" s="62" t="s">
        <v>120</v>
      </c>
      <c r="AA3" s="49" t="s">
        <v>471</v>
      </c>
      <c r="AB3" s="55" t="s">
        <v>463</v>
      </c>
      <c r="AC3" s="55" t="s">
        <v>463</v>
      </c>
      <c r="AD3" s="55" t="s">
        <v>463</v>
      </c>
      <c r="AE3" s="55" t="s">
        <v>463</v>
      </c>
      <c r="AF3" s="55" t="s">
        <v>408</v>
      </c>
      <c r="AG3" s="63" t="str">
        <f t="shared" si="1"/>
        <v>CUMPLIO</v>
      </c>
      <c r="AH3" s="64">
        <f t="shared" si="2"/>
        <v>0</v>
      </c>
      <c r="AI3" s="47" t="s">
        <v>477</v>
      </c>
      <c r="AJ3" s="55" t="s">
        <v>548</v>
      </c>
      <c r="AK3" s="48">
        <v>42976</v>
      </c>
      <c r="AL3" s="99" t="s">
        <v>543</v>
      </c>
      <c r="AM3" s="49" t="s">
        <v>482</v>
      </c>
      <c r="AN3" s="49" t="s">
        <v>483</v>
      </c>
      <c r="AO3" s="65" t="s">
        <v>414</v>
      </c>
      <c r="AP3" s="65" t="s">
        <v>484</v>
      </c>
      <c r="AQ3" s="61">
        <v>35000000</v>
      </c>
      <c r="AR3" s="60">
        <v>0</v>
      </c>
      <c r="AS3" s="59">
        <f t="shared" si="3"/>
        <v>35000000</v>
      </c>
      <c r="AT3" s="61">
        <v>35000000</v>
      </c>
      <c r="AU3" s="58">
        <v>0</v>
      </c>
      <c r="AV3" s="66">
        <v>42982</v>
      </c>
      <c r="AW3" s="66">
        <v>43312</v>
      </c>
      <c r="AX3" s="54" t="s">
        <v>253</v>
      </c>
      <c r="AY3" s="67">
        <f>5033252+5310074.4+6355272+5049196.8+9243287.2+4008917.6</f>
        <v>35000000</v>
      </c>
      <c r="AZ3" s="68">
        <f t="shared" ref="AZ3:AZ7" si="6">+AS3-AY3</f>
        <v>0</v>
      </c>
      <c r="BA3" s="54" t="s">
        <v>178</v>
      </c>
      <c r="BB3" s="137">
        <v>1</v>
      </c>
      <c r="BC3" s="137">
        <v>1</v>
      </c>
    </row>
    <row r="4" spans="1:55" s="69" customFormat="1" ht="107.25" customHeight="1" x14ac:dyDescent="0.25">
      <c r="A4" s="53">
        <f t="shared" si="5"/>
        <v>3</v>
      </c>
      <c r="B4" s="54" t="s">
        <v>6</v>
      </c>
      <c r="C4" s="53">
        <f>IFERROR(VLOOKUP(B4,UNIDADES!$A:$F,2,FALSE)," ")</f>
        <v>21</v>
      </c>
      <c r="D4" s="53" t="str">
        <f>IFERROR(VLOOKUP(B4,UNIDADES!$A:$F,4,FALSE)," ")</f>
        <v>REGIÓN 7</v>
      </c>
      <c r="E4" s="53" t="str">
        <f>IFERROR(VLOOKUP(B4,UNIDADES!$A:$F,5,FALSE)," ")</f>
        <v>DEPARTAMENTO DE POLICÍA CASANARE</v>
      </c>
      <c r="F4" s="53" t="str">
        <f>IFERROR(VLOOKUP(B4,UNIDADES!$A:$F,6,FALSE)," ")</f>
        <v>844000016-1</v>
      </c>
      <c r="G4" s="55" t="s">
        <v>387</v>
      </c>
      <c r="H4" s="55">
        <v>3107749147</v>
      </c>
      <c r="I4" s="56" t="s">
        <v>388</v>
      </c>
      <c r="J4" s="56" t="s">
        <v>389</v>
      </c>
      <c r="K4" s="57" t="s">
        <v>392</v>
      </c>
      <c r="L4" s="57" t="s">
        <v>464</v>
      </c>
      <c r="M4" s="99" t="s">
        <v>544</v>
      </c>
      <c r="N4" s="58">
        <v>0</v>
      </c>
      <c r="O4" s="58">
        <v>30064071</v>
      </c>
      <c r="P4" s="58"/>
      <c r="Q4" s="59">
        <f t="shared" si="0"/>
        <v>30064071</v>
      </c>
      <c r="R4" s="59">
        <v>30064071</v>
      </c>
      <c r="S4" s="58">
        <v>0</v>
      </c>
      <c r="T4" s="59">
        <f>+R4+S4</f>
        <v>30064071</v>
      </c>
      <c r="U4" s="60">
        <v>0</v>
      </c>
      <c r="V4" s="55" t="s">
        <v>463</v>
      </c>
      <c r="W4" s="55" t="s">
        <v>463</v>
      </c>
      <c r="X4" s="61">
        <v>30064071</v>
      </c>
      <c r="Y4" s="55" t="s">
        <v>469</v>
      </c>
      <c r="Z4" s="62" t="s">
        <v>120</v>
      </c>
      <c r="AA4" s="49" t="s">
        <v>472</v>
      </c>
      <c r="AB4" s="55" t="s">
        <v>463</v>
      </c>
      <c r="AC4" s="55" t="s">
        <v>463</v>
      </c>
      <c r="AD4" s="55" t="s">
        <v>463</v>
      </c>
      <c r="AE4" s="55" t="s">
        <v>463</v>
      </c>
      <c r="AF4" s="55" t="s">
        <v>408</v>
      </c>
      <c r="AG4" s="63" t="str">
        <f t="shared" si="1"/>
        <v>CUMPLIO</v>
      </c>
      <c r="AH4" s="64">
        <f t="shared" si="2"/>
        <v>0</v>
      </c>
      <c r="AI4" s="47" t="s">
        <v>478</v>
      </c>
      <c r="AJ4" s="55" t="s">
        <v>539</v>
      </c>
      <c r="AK4" s="48">
        <v>42976</v>
      </c>
      <c r="AL4" s="99" t="s">
        <v>544</v>
      </c>
      <c r="AM4" s="49" t="s">
        <v>485</v>
      </c>
      <c r="AN4" s="49" t="s">
        <v>486</v>
      </c>
      <c r="AO4" s="65" t="s">
        <v>414</v>
      </c>
      <c r="AP4" s="65" t="s">
        <v>487</v>
      </c>
      <c r="AQ4" s="61">
        <v>30064071</v>
      </c>
      <c r="AR4" s="60">
        <v>0</v>
      </c>
      <c r="AS4" s="59">
        <f t="shared" si="3"/>
        <v>30064071</v>
      </c>
      <c r="AT4" s="61">
        <v>30064071</v>
      </c>
      <c r="AU4" s="58">
        <v>0</v>
      </c>
      <c r="AV4" s="66">
        <v>42982</v>
      </c>
      <c r="AW4" s="66">
        <v>43281</v>
      </c>
      <c r="AX4" s="54" t="s">
        <v>253</v>
      </c>
      <c r="AY4" s="67">
        <v>18991375</v>
      </c>
      <c r="AZ4" s="68">
        <f t="shared" ref="AZ4" si="7">+AS4-AY4</f>
        <v>11072696</v>
      </c>
      <c r="BA4" s="54" t="s">
        <v>178</v>
      </c>
      <c r="BB4" s="138" t="s">
        <v>639</v>
      </c>
      <c r="BC4" s="138" t="s">
        <v>639</v>
      </c>
    </row>
    <row r="5" spans="1:55" s="69" customFormat="1" ht="162.75" customHeight="1" x14ac:dyDescent="0.25">
      <c r="A5" s="53">
        <f t="shared" si="5"/>
        <v>4</v>
      </c>
      <c r="B5" s="54" t="s">
        <v>6</v>
      </c>
      <c r="C5" s="53">
        <f>IFERROR(VLOOKUP(B5,UNIDADES!$A:$F,2,FALSE)," ")</f>
        <v>21</v>
      </c>
      <c r="D5" s="53" t="str">
        <f>IFERROR(VLOOKUP(B5,UNIDADES!$A:$F,4,FALSE)," ")</f>
        <v>REGIÓN 7</v>
      </c>
      <c r="E5" s="53" t="str">
        <f>IFERROR(VLOOKUP(B5,UNIDADES!$A:$F,5,FALSE)," ")</f>
        <v>DEPARTAMENTO DE POLICÍA CASANARE</v>
      </c>
      <c r="F5" s="53" t="str">
        <f>IFERROR(VLOOKUP(B5,UNIDADES!$A:$F,6,FALSE)," ")</f>
        <v>844000016-1</v>
      </c>
      <c r="G5" s="55" t="s">
        <v>387</v>
      </c>
      <c r="H5" s="55">
        <v>3107749147</v>
      </c>
      <c r="I5" s="56" t="s">
        <v>388</v>
      </c>
      <c r="J5" s="56" t="s">
        <v>389</v>
      </c>
      <c r="K5" s="57" t="s">
        <v>392</v>
      </c>
      <c r="L5" s="57" t="s">
        <v>464</v>
      </c>
      <c r="M5" s="99" t="s">
        <v>545</v>
      </c>
      <c r="N5" s="58">
        <v>0</v>
      </c>
      <c r="O5" s="58">
        <v>6500000</v>
      </c>
      <c r="P5" s="58"/>
      <c r="Q5" s="59">
        <f t="shared" si="0"/>
        <v>6500000</v>
      </c>
      <c r="R5" s="59">
        <v>6500000</v>
      </c>
      <c r="S5" s="58">
        <v>0</v>
      </c>
      <c r="T5" s="59">
        <f t="shared" ref="T5:T7" si="8">+R5+S5</f>
        <v>6500000</v>
      </c>
      <c r="U5" s="60">
        <v>0</v>
      </c>
      <c r="V5" s="55" t="s">
        <v>463</v>
      </c>
      <c r="W5" s="55" t="s">
        <v>463</v>
      </c>
      <c r="X5" s="61">
        <v>6500000</v>
      </c>
      <c r="Y5" s="55" t="s">
        <v>469</v>
      </c>
      <c r="Z5" s="62" t="s">
        <v>120</v>
      </c>
      <c r="AA5" s="49" t="s">
        <v>473</v>
      </c>
      <c r="AB5" s="55" t="s">
        <v>463</v>
      </c>
      <c r="AC5" s="55" t="s">
        <v>463</v>
      </c>
      <c r="AD5" s="55" t="s">
        <v>463</v>
      </c>
      <c r="AE5" s="55" t="s">
        <v>463</v>
      </c>
      <c r="AF5" s="55" t="s">
        <v>408</v>
      </c>
      <c r="AG5" s="63" t="str">
        <f t="shared" si="1"/>
        <v>CUMPLIO</v>
      </c>
      <c r="AH5" s="64">
        <f t="shared" si="2"/>
        <v>0</v>
      </c>
      <c r="AI5" s="47" t="s">
        <v>479</v>
      </c>
      <c r="AJ5" s="55" t="s">
        <v>540</v>
      </c>
      <c r="AK5" s="48">
        <v>42977</v>
      </c>
      <c r="AL5" s="99" t="s">
        <v>545</v>
      </c>
      <c r="AM5" s="49">
        <v>13644484</v>
      </c>
      <c r="AN5" s="49" t="s">
        <v>488</v>
      </c>
      <c r="AO5" s="65" t="s">
        <v>414</v>
      </c>
      <c r="AP5" s="49" t="s">
        <v>488</v>
      </c>
      <c r="AQ5" s="61">
        <v>6500000</v>
      </c>
      <c r="AR5" s="60">
        <v>0</v>
      </c>
      <c r="AS5" s="59">
        <f t="shared" si="3"/>
        <v>6500000</v>
      </c>
      <c r="AT5" s="61">
        <v>6500000</v>
      </c>
      <c r="AU5" s="58">
        <v>0</v>
      </c>
      <c r="AV5" s="66">
        <v>42982</v>
      </c>
      <c r="AW5" s="66">
        <v>43312</v>
      </c>
      <c r="AX5" s="54" t="s">
        <v>253</v>
      </c>
      <c r="AY5" s="67">
        <v>6500000</v>
      </c>
      <c r="AZ5" s="68">
        <f t="shared" si="6"/>
        <v>0</v>
      </c>
      <c r="BA5" s="54" t="s">
        <v>178</v>
      </c>
      <c r="BB5" s="137">
        <v>1</v>
      </c>
      <c r="BC5" s="137">
        <v>1</v>
      </c>
    </row>
    <row r="6" spans="1:55" s="69" customFormat="1" ht="101.25" customHeight="1" x14ac:dyDescent="0.25">
      <c r="A6" s="53">
        <f t="shared" si="5"/>
        <v>5</v>
      </c>
      <c r="B6" s="54" t="s">
        <v>6</v>
      </c>
      <c r="C6" s="53">
        <f>IFERROR(VLOOKUP(B6,UNIDADES!$A:$F,2,FALSE)," ")</f>
        <v>21</v>
      </c>
      <c r="D6" s="53" t="str">
        <f>IFERROR(VLOOKUP(B6,UNIDADES!$A:$F,4,FALSE)," ")</f>
        <v>REGIÓN 7</v>
      </c>
      <c r="E6" s="53" t="str">
        <f>IFERROR(VLOOKUP(B6,UNIDADES!$A:$F,5,FALSE)," ")</f>
        <v>DEPARTAMENTO DE POLICÍA CASANARE</v>
      </c>
      <c r="F6" s="53" t="str">
        <f>IFERROR(VLOOKUP(B6,UNIDADES!$A:$F,6,FALSE)," ")</f>
        <v>844000016-1</v>
      </c>
      <c r="G6" s="55" t="s">
        <v>387</v>
      </c>
      <c r="H6" s="55">
        <v>3107749147</v>
      </c>
      <c r="I6" s="56" t="s">
        <v>388</v>
      </c>
      <c r="J6" s="56" t="s">
        <v>389</v>
      </c>
      <c r="K6" s="57" t="s">
        <v>392</v>
      </c>
      <c r="L6" s="57" t="s">
        <v>464</v>
      </c>
      <c r="M6" s="99" t="s">
        <v>546</v>
      </c>
      <c r="N6" s="58">
        <v>0</v>
      </c>
      <c r="O6" s="58">
        <v>190243060</v>
      </c>
      <c r="P6" s="58">
        <v>27177580</v>
      </c>
      <c r="Q6" s="59">
        <f t="shared" si="0"/>
        <v>217420640</v>
      </c>
      <c r="R6" s="59">
        <v>217420640</v>
      </c>
      <c r="S6" s="58">
        <v>0</v>
      </c>
      <c r="T6" s="59">
        <f t="shared" ref="T6" si="9">+R6+S6</f>
        <v>217420640</v>
      </c>
      <c r="U6" s="60">
        <v>0</v>
      </c>
      <c r="V6" s="55" t="s">
        <v>463</v>
      </c>
      <c r="W6" s="55" t="s">
        <v>463</v>
      </c>
      <c r="X6" s="61">
        <v>217420640</v>
      </c>
      <c r="Y6" s="55" t="s">
        <v>469</v>
      </c>
      <c r="Z6" s="62" t="s">
        <v>120</v>
      </c>
      <c r="AA6" s="49" t="s">
        <v>474</v>
      </c>
      <c r="AB6" s="55" t="s">
        <v>463</v>
      </c>
      <c r="AC6" s="55" t="s">
        <v>463</v>
      </c>
      <c r="AD6" s="55" t="s">
        <v>463</v>
      </c>
      <c r="AE6" s="55" t="s">
        <v>463</v>
      </c>
      <c r="AF6" s="55" t="s">
        <v>408</v>
      </c>
      <c r="AG6" s="63" t="str">
        <f t="shared" si="1"/>
        <v>CUMPLIO</v>
      </c>
      <c r="AH6" s="64">
        <f t="shared" si="2"/>
        <v>0</v>
      </c>
      <c r="AI6" s="47" t="s">
        <v>480</v>
      </c>
      <c r="AJ6" s="55" t="s">
        <v>549</v>
      </c>
      <c r="AK6" s="48">
        <v>42977</v>
      </c>
      <c r="AL6" s="99" t="s">
        <v>546</v>
      </c>
      <c r="AM6" s="49" t="s">
        <v>489</v>
      </c>
      <c r="AN6" s="49" t="s">
        <v>490</v>
      </c>
      <c r="AO6" s="65" t="s">
        <v>414</v>
      </c>
      <c r="AP6" s="65" t="s">
        <v>491</v>
      </c>
      <c r="AQ6" s="61">
        <v>217420640</v>
      </c>
      <c r="AR6" s="60">
        <v>0</v>
      </c>
      <c r="AS6" s="59">
        <f t="shared" si="3"/>
        <v>217420640</v>
      </c>
      <c r="AT6" s="61">
        <v>217420640</v>
      </c>
      <c r="AU6" s="58">
        <v>0</v>
      </c>
      <c r="AV6" s="66">
        <v>42982</v>
      </c>
      <c r="AW6" s="66">
        <v>43312</v>
      </c>
      <c r="AX6" s="54" t="s">
        <v>253</v>
      </c>
      <c r="AY6" s="61">
        <v>217420640</v>
      </c>
      <c r="AZ6" s="68">
        <f t="shared" ref="AZ6" si="10">+AS6-AY6</f>
        <v>0</v>
      </c>
      <c r="BA6" s="54" t="s">
        <v>178</v>
      </c>
      <c r="BB6" s="137">
        <v>1</v>
      </c>
      <c r="BC6" s="137">
        <v>1</v>
      </c>
    </row>
    <row r="7" spans="1:55" s="69" customFormat="1" ht="77.25" customHeight="1" x14ac:dyDescent="0.25">
      <c r="A7" s="53">
        <f t="shared" si="5"/>
        <v>6</v>
      </c>
      <c r="B7" s="54" t="s">
        <v>6</v>
      </c>
      <c r="C7" s="53">
        <f>IFERROR(VLOOKUP(B7,UNIDADES!$A:$F,2,FALSE)," ")</f>
        <v>21</v>
      </c>
      <c r="D7" s="53" t="str">
        <f>IFERROR(VLOOKUP(B7,UNIDADES!$A:$F,4,FALSE)," ")</f>
        <v>REGIÓN 7</v>
      </c>
      <c r="E7" s="53" t="str">
        <f>IFERROR(VLOOKUP(B7,UNIDADES!$A:$F,5,FALSE)," ")</f>
        <v>DEPARTAMENTO DE POLICÍA CASANARE</v>
      </c>
      <c r="F7" s="53" t="str">
        <f>IFERROR(VLOOKUP(B7,UNIDADES!$A:$F,6,FALSE)," ")</f>
        <v>844000016-1</v>
      </c>
      <c r="G7" s="55" t="s">
        <v>387</v>
      </c>
      <c r="H7" s="55">
        <v>3107749147</v>
      </c>
      <c r="I7" s="56" t="s">
        <v>388</v>
      </c>
      <c r="J7" s="56" t="s">
        <v>389</v>
      </c>
      <c r="K7" s="57" t="s">
        <v>392</v>
      </c>
      <c r="L7" s="57" t="s">
        <v>395</v>
      </c>
      <c r="M7" s="99" t="s">
        <v>468</v>
      </c>
      <c r="N7" s="58">
        <v>0</v>
      </c>
      <c r="O7" s="58">
        <v>14283202</v>
      </c>
      <c r="P7" s="58"/>
      <c r="Q7" s="59">
        <f t="shared" si="0"/>
        <v>14283202</v>
      </c>
      <c r="R7" s="59">
        <v>14283202</v>
      </c>
      <c r="S7" s="58">
        <v>0</v>
      </c>
      <c r="T7" s="59">
        <f t="shared" si="8"/>
        <v>14283202</v>
      </c>
      <c r="U7" s="60">
        <v>0</v>
      </c>
      <c r="V7" s="55" t="s">
        <v>463</v>
      </c>
      <c r="W7" s="55" t="s">
        <v>463</v>
      </c>
      <c r="X7" s="61">
        <v>14283202</v>
      </c>
      <c r="Y7" s="55" t="s">
        <v>433</v>
      </c>
      <c r="Z7" s="62" t="s">
        <v>120</v>
      </c>
      <c r="AA7" s="49" t="s">
        <v>475</v>
      </c>
      <c r="AB7" s="55" t="s">
        <v>463</v>
      </c>
      <c r="AC7" s="55" t="s">
        <v>463</v>
      </c>
      <c r="AD7" s="55" t="s">
        <v>463</v>
      </c>
      <c r="AE7" s="55" t="s">
        <v>463</v>
      </c>
      <c r="AF7" s="55" t="s">
        <v>408</v>
      </c>
      <c r="AG7" s="63" t="str">
        <f t="shared" si="1"/>
        <v>CUMPLIO</v>
      </c>
      <c r="AH7" s="64">
        <f t="shared" si="2"/>
        <v>0</v>
      </c>
      <c r="AI7" s="47" t="s">
        <v>481</v>
      </c>
      <c r="AJ7" s="55" t="s">
        <v>550</v>
      </c>
      <c r="AK7" s="48">
        <v>43096</v>
      </c>
      <c r="AL7" s="99" t="s">
        <v>551</v>
      </c>
      <c r="AM7" s="49" t="s">
        <v>492</v>
      </c>
      <c r="AN7" s="49" t="s">
        <v>493</v>
      </c>
      <c r="AO7" s="65" t="s">
        <v>414</v>
      </c>
      <c r="AP7" s="65" t="s">
        <v>494</v>
      </c>
      <c r="AQ7" s="61">
        <v>14283202</v>
      </c>
      <c r="AR7" s="60">
        <v>0</v>
      </c>
      <c r="AS7" s="59">
        <f t="shared" si="3"/>
        <v>14283202</v>
      </c>
      <c r="AT7" s="61">
        <v>14283202</v>
      </c>
      <c r="AU7" s="58">
        <v>0</v>
      </c>
      <c r="AV7" s="66">
        <v>43096</v>
      </c>
      <c r="AW7" s="66">
        <v>43121</v>
      </c>
      <c r="AX7" s="54" t="s">
        <v>253</v>
      </c>
      <c r="AY7" s="67">
        <v>14283202</v>
      </c>
      <c r="AZ7" s="68">
        <f t="shared" si="6"/>
        <v>0</v>
      </c>
      <c r="BA7" s="54" t="s">
        <v>178</v>
      </c>
      <c r="BB7" s="137">
        <v>1</v>
      </c>
      <c r="BC7" s="137">
        <v>1</v>
      </c>
    </row>
    <row r="8" spans="1:55" s="69" customFormat="1" ht="77.25" customHeight="1" x14ac:dyDescent="0.25">
      <c r="A8" s="53">
        <f t="shared" si="5"/>
        <v>7</v>
      </c>
      <c r="B8" s="54" t="s">
        <v>6</v>
      </c>
      <c r="C8" s="53">
        <f>IFERROR(VLOOKUP(B8,UNIDADES!$A:$F,2,FALSE)," ")</f>
        <v>21</v>
      </c>
      <c r="D8" s="53" t="str">
        <f>IFERROR(VLOOKUP(B8,UNIDADES!$A:$F,4,FALSE)," ")</f>
        <v>REGIÓN 7</v>
      </c>
      <c r="E8" s="53" t="str">
        <f>IFERROR(VLOOKUP(B8,UNIDADES!$A:$F,5,FALSE)," ")</f>
        <v>DEPARTAMENTO DE POLICÍA CASANARE</v>
      </c>
      <c r="F8" s="53" t="str">
        <f>IFERROR(VLOOKUP(B8,UNIDADES!$A:$F,6,FALSE)," ")</f>
        <v>844000016-1</v>
      </c>
      <c r="G8" s="55" t="s">
        <v>387</v>
      </c>
      <c r="H8" s="55">
        <v>3107749147</v>
      </c>
      <c r="I8" s="56" t="s">
        <v>388</v>
      </c>
      <c r="J8" s="56" t="s">
        <v>389</v>
      </c>
      <c r="K8" s="57" t="s">
        <v>392</v>
      </c>
      <c r="L8" s="57" t="s">
        <v>390</v>
      </c>
      <c r="M8" s="95" t="s">
        <v>396</v>
      </c>
      <c r="N8" s="58">
        <v>0</v>
      </c>
      <c r="O8" s="58">
        <v>6500000</v>
      </c>
      <c r="P8" s="58"/>
      <c r="Q8" s="59">
        <f t="shared" si="0"/>
        <v>6500000</v>
      </c>
      <c r="R8" s="59">
        <v>6500000</v>
      </c>
      <c r="S8" s="58">
        <v>0</v>
      </c>
      <c r="T8" s="59">
        <f t="shared" ref="T8:T42" si="11">+R8+S8</f>
        <v>6500000</v>
      </c>
      <c r="U8" s="60">
        <v>0</v>
      </c>
      <c r="V8" s="70">
        <v>43117</v>
      </c>
      <c r="W8" s="70">
        <v>43119</v>
      </c>
      <c r="X8" s="58">
        <v>6500000</v>
      </c>
      <c r="Y8" s="55" t="s">
        <v>434</v>
      </c>
      <c r="Z8" s="62" t="s">
        <v>274</v>
      </c>
      <c r="AA8" s="57" t="s">
        <v>404</v>
      </c>
      <c r="AB8" s="55" t="s">
        <v>122</v>
      </c>
      <c r="AC8" s="71">
        <v>43117</v>
      </c>
      <c r="AD8" s="71">
        <v>43119</v>
      </c>
      <c r="AE8" s="71">
        <v>43131</v>
      </c>
      <c r="AF8" s="55" t="s">
        <v>408</v>
      </c>
      <c r="AG8" s="63" t="str">
        <f t="shared" si="1"/>
        <v>CUMPLIO</v>
      </c>
      <c r="AH8" s="64">
        <f t="shared" si="2"/>
        <v>0</v>
      </c>
      <c r="AI8" s="72" t="s">
        <v>411</v>
      </c>
      <c r="AJ8" s="55" t="s">
        <v>552</v>
      </c>
      <c r="AK8" s="70">
        <v>43126</v>
      </c>
      <c r="AL8" s="96" t="s">
        <v>396</v>
      </c>
      <c r="AM8" s="57" t="s">
        <v>412</v>
      </c>
      <c r="AN8" s="73" t="s">
        <v>413</v>
      </c>
      <c r="AO8" s="55" t="s">
        <v>414</v>
      </c>
      <c r="AP8" s="55" t="s">
        <v>415</v>
      </c>
      <c r="AQ8" s="60">
        <v>6500000</v>
      </c>
      <c r="AR8" s="60">
        <v>0</v>
      </c>
      <c r="AS8" s="59">
        <f t="shared" si="3"/>
        <v>6500000</v>
      </c>
      <c r="AT8" s="58">
        <v>6500000</v>
      </c>
      <c r="AU8" s="58">
        <v>0</v>
      </c>
      <c r="AV8" s="71">
        <v>43129</v>
      </c>
      <c r="AW8" s="71">
        <v>43465</v>
      </c>
      <c r="AX8" s="54" t="s">
        <v>253</v>
      </c>
      <c r="AY8" s="60">
        <f>2138550+4361450</f>
        <v>6500000</v>
      </c>
      <c r="AZ8" s="68">
        <f t="shared" ref="AZ8:AZ19" si="12">+AS8-AY8</f>
        <v>0</v>
      </c>
      <c r="BA8" s="54" t="s">
        <v>178</v>
      </c>
      <c r="BB8" s="137">
        <v>1</v>
      </c>
      <c r="BC8" s="137">
        <v>1</v>
      </c>
    </row>
    <row r="9" spans="1:55" s="69" customFormat="1" ht="99.75" customHeight="1" x14ac:dyDescent="0.25">
      <c r="A9" s="53">
        <f t="shared" si="5"/>
        <v>8</v>
      </c>
      <c r="B9" s="54" t="s">
        <v>6</v>
      </c>
      <c r="C9" s="53">
        <f>IFERROR(VLOOKUP(B9,UNIDADES!$A:$F,2,FALSE)," ")</f>
        <v>21</v>
      </c>
      <c r="D9" s="53" t="str">
        <f>IFERROR(VLOOKUP(B9,UNIDADES!$A:$F,4,FALSE)," ")</f>
        <v>REGIÓN 7</v>
      </c>
      <c r="E9" s="53" t="str">
        <f>IFERROR(VLOOKUP(B9,UNIDADES!$A:$F,5,FALSE)," ")</f>
        <v>DEPARTAMENTO DE POLICÍA CASANARE</v>
      </c>
      <c r="F9" s="53" t="str">
        <f>IFERROR(VLOOKUP(B9,UNIDADES!$A:$F,6,FALSE)," ")</f>
        <v>844000016-1</v>
      </c>
      <c r="G9" s="55" t="s">
        <v>387</v>
      </c>
      <c r="H9" s="55">
        <v>3107749147</v>
      </c>
      <c r="I9" s="56" t="s">
        <v>388</v>
      </c>
      <c r="J9" s="56" t="s">
        <v>389</v>
      </c>
      <c r="K9" s="57" t="s">
        <v>392</v>
      </c>
      <c r="L9" s="57" t="s">
        <v>464</v>
      </c>
      <c r="M9" s="96" t="s">
        <v>397</v>
      </c>
      <c r="N9" s="58">
        <v>0</v>
      </c>
      <c r="O9" s="58"/>
      <c r="P9" s="58">
        <v>17326667</v>
      </c>
      <c r="Q9" s="59">
        <f t="shared" si="0"/>
        <v>17326667</v>
      </c>
      <c r="R9" s="59">
        <f t="shared" ref="R9:R42" si="13">+N9+Q9</f>
        <v>17326667</v>
      </c>
      <c r="S9" s="58">
        <v>0</v>
      </c>
      <c r="T9" s="59">
        <f t="shared" si="11"/>
        <v>17326667</v>
      </c>
      <c r="U9" s="60">
        <v>0</v>
      </c>
      <c r="V9" s="70">
        <v>43150</v>
      </c>
      <c r="W9" s="70">
        <v>43151</v>
      </c>
      <c r="X9" s="58">
        <v>17326667</v>
      </c>
      <c r="Y9" s="55" t="s">
        <v>432</v>
      </c>
      <c r="Z9" s="62" t="s">
        <v>162</v>
      </c>
      <c r="AA9" s="57" t="s">
        <v>405</v>
      </c>
      <c r="AB9" s="55" t="s">
        <v>409</v>
      </c>
      <c r="AC9" s="71">
        <v>43129</v>
      </c>
      <c r="AD9" s="71">
        <v>43151</v>
      </c>
      <c r="AE9" s="71">
        <v>43159</v>
      </c>
      <c r="AF9" s="55" t="s">
        <v>409</v>
      </c>
      <c r="AG9" s="63" t="str">
        <f>IFERROR(IF(AK9&lt;=AE9,"CUMPLIO","NO CUMPLIO")," ")</f>
        <v>CUMPLIO</v>
      </c>
      <c r="AH9" s="64">
        <f t="shared" si="2"/>
        <v>0</v>
      </c>
      <c r="AI9" s="72" t="s">
        <v>416</v>
      </c>
      <c r="AJ9" s="55" t="s">
        <v>553</v>
      </c>
      <c r="AK9" s="70">
        <v>43154</v>
      </c>
      <c r="AL9" s="96" t="s">
        <v>397</v>
      </c>
      <c r="AM9" s="55" t="s">
        <v>417</v>
      </c>
      <c r="AN9" s="55" t="s">
        <v>418</v>
      </c>
      <c r="AO9" s="55" t="s">
        <v>414</v>
      </c>
      <c r="AP9" s="55" t="s">
        <v>419</v>
      </c>
      <c r="AQ9" s="60">
        <v>17326667</v>
      </c>
      <c r="AR9" s="60">
        <v>0</v>
      </c>
      <c r="AS9" s="59">
        <f t="shared" ref="AS9:AS18" si="14">+AQ9+AR9</f>
        <v>17326667</v>
      </c>
      <c r="AT9" s="58">
        <v>17323667</v>
      </c>
      <c r="AU9" s="58">
        <v>0</v>
      </c>
      <c r="AV9" s="75">
        <v>43159</v>
      </c>
      <c r="AW9" s="75">
        <v>43464</v>
      </c>
      <c r="AX9" s="54" t="s">
        <v>253</v>
      </c>
      <c r="AY9" s="60">
        <f>5354250+11972417</f>
        <v>17326667</v>
      </c>
      <c r="AZ9" s="68">
        <f t="shared" si="12"/>
        <v>0</v>
      </c>
      <c r="BA9" s="54" t="s">
        <v>178</v>
      </c>
      <c r="BB9" s="137">
        <v>1</v>
      </c>
      <c r="BC9" s="137">
        <v>1</v>
      </c>
    </row>
    <row r="10" spans="1:55" s="69" customFormat="1" ht="84" customHeight="1" x14ac:dyDescent="0.25">
      <c r="A10" s="53">
        <f t="shared" si="5"/>
        <v>9</v>
      </c>
      <c r="B10" s="54" t="s">
        <v>6</v>
      </c>
      <c r="C10" s="53">
        <f>IFERROR(VLOOKUP(B10,UNIDADES!$A:$F,2,FALSE)," ")</f>
        <v>21</v>
      </c>
      <c r="D10" s="53" t="str">
        <f>IFERROR(VLOOKUP(B10,UNIDADES!$A:$F,4,FALSE)," ")</f>
        <v>REGIÓN 7</v>
      </c>
      <c r="E10" s="53" t="str">
        <f>IFERROR(VLOOKUP(B10,UNIDADES!$A:$F,5,FALSE)," ")</f>
        <v>DEPARTAMENTO DE POLICÍA CASANARE</v>
      </c>
      <c r="F10" s="53" t="str">
        <f>IFERROR(VLOOKUP(B10,UNIDADES!$A:$F,6,FALSE)," ")</f>
        <v>844000016-1</v>
      </c>
      <c r="G10" s="55" t="s">
        <v>387</v>
      </c>
      <c r="H10" s="55">
        <v>3107749147</v>
      </c>
      <c r="I10" s="56" t="s">
        <v>388</v>
      </c>
      <c r="J10" s="56" t="s">
        <v>389</v>
      </c>
      <c r="K10" s="57" t="s">
        <v>392</v>
      </c>
      <c r="L10" s="57" t="s">
        <v>391</v>
      </c>
      <c r="M10" s="96" t="s">
        <v>398</v>
      </c>
      <c r="N10" s="58">
        <v>0</v>
      </c>
      <c r="O10" s="58">
        <v>58299366</v>
      </c>
      <c r="P10" s="58">
        <v>0</v>
      </c>
      <c r="Q10" s="59">
        <f t="shared" si="0"/>
        <v>58299366</v>
      </c>
      <c r="R10" s="59">
        <f t="shared" si="13"/>
        <v>58299366</v>
      </c>
      <c r="S10" s="58">
        <v>0</v>
      </c>
      <c r="T10" s="59">
        <f t="shared" si="11"/>
        <v>58299366</v>
      </c>
      <c r="U10" s="60">
        <v>0</v>
      </c>
      <c r="V10" s="70">
        <v>43147</v>
      </c>
      <c r="W10" s="70">
        <v>43152</v>
      </c>
      <c r="X10" s="58">
        <v>58299366</v>
      </c>
      <c r="Y10" s="55" t="s">
        <v>432</v>
      </c>
      <c r="Z10" s="62" t="s">
        <v>162</v>
      </c>
      <c r="AA10" s="57" t="s">
        <v>406</v>
      </c>
      <c r="AB10" s="55" t="s">
        <v>409</v>
      </c>
      <c r="AC10" s="71">
        <v>43143</v>
      </c>
      <c r="AD10" s="71">
        <v>43152</v>
      </c>
      <c r="AE10" s="71">
        <v>43190</v>
      </c>
      <c r="AF10" s="55" t="s">
        <v>410</v>
      </c>
      <c r="AG10" s="63" t="str">
        <f>IFERROR(IF(AK10&lt;=AE10,"CUMPLIO","NO CUMPLIO")," ")</f>
        <v>CUMPLIO</v>
      </c>
      <c r="AH10" s="64">
        <f>X10-AS10</f>
        <v>0</v>
      </c>
      <c r="AI10" s="72" t="s">
        <v>420</v>
      </c>
      <c r="AJ10" s="55" t="s">
        <v>435</v>
      </c>
      <c r="AK10" s="70">
        <v>43158</v>
      </c>
      <c r="AL10" s="96" t="s">
        <v>398</v>
      </c>
      <c r="AM10" s="55" t="s">
        <v>421</v>
      </c>
      <c r="AN10" s="73" t="s">
        <v>422</v>
      </c>
      <c r="AO10" s="65" t="s">
        <v>414</v>
      </c>
      <c r="AP10" s="73" t="s">
        <v>423</v>
      </c>
      <c r="AQ10" s="60">
        <v>58299366</v>
      </c>
      <c r="AR10" s="60">
        <v>0</v>
      </c>
      <c r="AS10" s="59">
        <f t="shared" si="14"/>
        <v>58299366</v>
      </c>
      <c r="AT10" s="58">
        <v>58299366</v>
      </c>
      <c r="AU10" s="58">
        <v>0</v>
      </c>
      <c r="AV10" s="75">
        <v>43159</v>
      </c>
      <c r="AW10" s="75">
        <v>43312</v>
      </c>
      <c r="AX10" s="54" t="s">
        <v>253</v>
      </c>
      <c r="AY10" s="60">
        <v>58299366</v>
      </c>
      <c r="AZ10" s="68">
        <f t="shared" si="12"/>
        <v>0</v>
      </c>
      <c r="BA10" s="54" t="s">
        <v>178</v>
      </c>
      <c r="BB10" s="137">
        <v>1</v>
      </c>
      <c r="BC10" s="137">
        <v>1</v>
      </c>
    </row>
    <row r="11" spans="1:55" s="69" customFormat="1" ht="123.75" customHeight="1" x14ac:dyDescent="0.25">
      <c r="A11" s="53">
        <f t="shared" si="5"/>
        <v>10</v>
      </c>
      <c r="B11" s="54" t="s">
        <v>6</v>
      </c>
      <c r="C11" s="53">
        <f>IFERROR(VLOOKUP(B11,UNIDADES!$A:$F,2,FALSE)," ")</f>
        <v>21</v>
      </c>
      <c r="D11" s="53" t="str">
        <f>IFERROR(VLOOKUP(B11,UNIDADES!$A:$F,4,FALSE)," ")</f>
        <v>REGIÓN 7</v>
      </c>
      <c r="E11" s="53" t="str">
        <f>IFERROR(VLOOKUP(B11,UNIDADES!$A:$F,5,FALSE)," ")</f>
        <v>DEPARTAMENTO DE POLICÍA CASANARE</v>
      </c>
      <c r="F11" s="53" t="str">
        <f>IFERROR(VLOOKUP(B11,UNIDADES!$A:$F,6,FALSE)," ")</f>
        <v>844000016-1</v>
      </c>
      <c r="G11" s="55" t="s">
        <v>387</v>
      </c>
      <c r="H11" s="55">
        <v>3107749147</v>
      </c>
      <c r="I11" s="56" t="s">
        <v>388</v>
      </c>
      <c r="J11" s="56" t="s">
        <v>389</v>
      </c>
      <c r="K11" s="57" t="s">
        <v>392</v>
      </c>
      <c r="L11" s="57" t="s">
        <v>393</v>
      </c>
      <c r="M11" s="96" t="s">
        <v>399</v>
      </c>
      <c r="N11" s="58">
        <v>0</v>
      </c>
      <c r="O11" s="58">
        <v>0</v>
      </c>
      <c r="P11" s="58">
        <v>35010000</v>
      </c>
      <c r="Q11" s="59">
        <f t="shared" si="0"/>
        <v>35010000</v>
      </c>
      <c r="R11" s="59">
        <f t="shared" si="13"/>
        <v>35010000</v>
      </c>
      <c r="S11" s="58">
        <v>0</v>
      </c>
      <c r="T11" s="59">
        <f t="shared" si="11"/>
        <v>35010000</v>
      </c>
      <c r="U11" s="60">
        <v>0</v>
      </c>
      <c r="V11" s="70">
        <v>43129</v>
      </c>
      <c r="W11" s="70">
        <v>43152</v>
      </c>
      <c r="X11" s="58">
        <v>35010000</v>
      </c>
      <c r="Y11" s="57" t="s">
        <v>393</v>
      </c>
      <c r="Z11" s="62" t="s">
        <v>162</v>
      </c>
      <c r="AA11" s="57" t="s">
        <v>445</v>
      </c>
      <c r="AB11" s="55" t="s">
        <v>408</v>
      </c>
      <c r="AC11" s="71">
        <v>43129</v>
      </c>
      <c r="AD11" s="71">
        <v>43129</v>
      </c>
      <c r="AE11" s="71">
        <v>43159</v>
      </c>
      <c r="AF11" s="55" t="s">
        <v>409</v>
      </c>
      <c r="AG11" s="63" t="str">
        <f t="shared" ref="AG11:AG20" si="15">IFERROR(IF(AK11&lt;=AE11,"CUMPLIO","NO CUMPLIO")," ")</f>
        <v>CUMPLIO</v>
      </c>
      <c r="AH11" s="64">
        <f t="shared" si="2"/>
        <v>0</v>
      </c>
      <c r="AI11" s="72" t="s">
        <v>424</v>
      </c>
      <c r="AJ11" s="55" t="s">
        <v>436</v>
      </c>
      <c r="AK11" s="70">
        <v>43159</v>
      </c>
      <c r="AL11" s="96" t="s">
        <v>399</v>
      </c>
      <c r="AM11" s="55" t="s">
        <v>425</v>
      </c>
      <c r="AN11" s="57" t="s">
        <v>426</v>
      </c>
      <c r="AO11" s="65" t="s">
        <v>414</v>
      </c>
      <c r="AP11" s="73" t="s">
        <v>427</v>
      </c>
      <c r="AQ11" s="60">
        <v>35010000</v>
      </c>
      <c r="AR11" s="60">
        <v>0</v>
      </c>
      <c r="AS11" s="59">
        <f t="shared" si="14"/>
        <v>35010000</v>
      </c>
      <c r="AT11" s="58">
        <v>35010000</v>
      </c>
      <c r="AU11" s="58">
        <v>0</v>
      </c>
      <c r="AV11" s="71">
        <v>43165</v>
      </c>
      <c r="AW11" s="71">
        <v>43465</v>
      </c>
      <c r="AX11" s="54" t="s">
        <v>253</v>
      </c>
      <c r="AY11" s="60">
        <f>14470000+20540000</f>
        <v>35010000</v>
      </c>
      <c r="AZ11" s="68">
        <f t="shared" si="12"/>
        <v>0</v>
      </c>
      <c r="BA11" s="54" t="s">
        <v>178</v>
      </c>
      <c r="BB11" s="137">
        <v>1</v>
      </c>
      <c r="BC11" s="137">
        <v>1</v>
      </c>
    </row>
    <row r="12" spans="1:55" s="69" customFormat="1" ht="94.5" customHeight="1" x14ac:dyDescent="0.25">
      <c r="A12" s="53">
        <f t="shared" si="5"/>
        <v>11</v>
      </c>
      <c r="B12" s="54" t="s">
        <v>6</v>
      </c>
      <c r="C12" s="53">
        <f>IFERROR(VLOOKUP(B12,UNIDADES!$A:$F,2,FALSE)," ")</f>
        <v>21</v>
      </c>
      <c r="D12" s="53" t="str">
        <f>IFERROR(VLOOKUP(B12,UNIDADES!$A:$F,4,FALSE)," ")</f>
        <v>REGIÓN 7</v>
      </c>
      <c r="E12" s="53" t="str">
        <f>IFERROR(VLOOKUP(B12,UNIDADES!$A:$F,5,FALSE)," ")</f>
        <v>DEPARTAMENTO DE POLICÍA CASANARE</v>
      </c>
      <c r="F12" s="53" t="str">
        <f>IFERROR(VLOOKUP(B12,UNIDADES!$A:$F,6,FALSE)," ")</f>
        <v>844000016-1</v>
      </c>
      <c r="G12" s="55" t="s">
        <v>387</v>
      </c>
      <c r="H12" s="55">
        <v>3107749147</v>
      </c>
      <c r="I12" s="56" t="s">
        <v>388</v>
      </c>
      <c r="J12" s="56" t="s">
        <v>389</v>
      </c>
      <c r="K12" s="57" t="s">
        <v>392</v>
      </c>
      <c r="L12" s="57" t="s">
        <v>391</v>
      </c>
      <c r="M12" s="96" t="s">
        <v>400</v>
      </c>
      <c r="N12" s="58">
        <v>0</v>
      </c>
      <c r="O12" s="58">
        <v>65000000</v>
      </c>
      <c r="P12" s="58">
        <v>500000</v>
      </c>
      <c r="Q12" s="59">
        <f t="shared" si="0"/>
        <v>65500000</v>
      </c>
      <c r="R12" s="59">
        <f>+N12+Q12</f>
        <v>65500000</v>
      </c>
      <c r="S12" s="58">
        <v>0</v>
      </c>
      <c r="T12" s="59">
        <f t="shared" si="11"/>
        <v>65500000</v>
      </c>
      <c r="U12" s="60">
        <v>0</v>
      </c>
      <c r="V12" s="70">
        <v>43147</v>
      </c>
      <c r="W12" s="70">
        <v>43152</v>
      </c>
      <c r="X12" s="58">
        <v>43259690</v>
      </c>
      <c r="Y12" s="57" t="s">
        <v>432</v>
      </c>
      <c r="Z12" s="62" t="s">
        <v>162</v>
      </c>
      <c r="AA12" s="57">
        <v>26206</v>
      </c>
      <c r="AB12" s="55" t="s">
        <v>409</v>
      </c>
      <c r="AC12" s="71">
        <v>43147</v>
      </c>
      <c r="AD12" s="71">
        <v>43147</v>
      </c>
      <c r="AE12" s="71" t="s">
        <v>446</v>
      </c>
      <c r="AF12" s="55" t="s">
        <v>409</v>
      </c>
      <c r="AG12" s="63" t="str">
        <f t="shared" si="15"/>
        <v>CUMPLIO</v>
      </c>
      <c r="AH12" s="64">
        <f t="shared" si="2"/>
        <v>0</v>
      </c>
      <c r="AI12" s="72">
        <v>26206</v>
      </c>
      <c r="AJ12" s="55">
        <v>26206</v>
      </c>
      <c r="AK12" s="70">
        <v>43165</v>
      </c>
      <c r="AL12" s="96" t="s">
        <v>400</v>
      </c>
      <c r="AM12" s="57" t="s">
        <v>447</v>
      </c>
      <c r="AN12" s="57" t="s">
        <v>448</v>
      </c>
      <c r="AO12" s="65" t="s">
        <v>414</v>
      </c>
      <c r="AP12" s="73" t="s">
        <v>449</v>
      </c>
      <c r="AQ12" s="60">
        <v>43259690</v>
      </c>
      <c r="AR12" s="60">
        <v>0</v>
      </c>
      <c r="AS12" s="59">
        <f t="shared" si="14"/>
        <v>43259690</v>
      </c>
      <c r="AT12" s="58">
        <v>43259690</v>
      </c>
      <c r="AU12" s="58">
        <v>0</v>
      </c>
      <c r="AV12" s="75">
        <v>43165</v>
      </c>
      <c r="AW12" s="75">
        <v>43464</v>
      </c>
      <c r="AX12" s="54" t="s">
        <v>253</v>
      </c>
      <c r="AY12" s="60">
        <f>19726528.87+23533161.13</f>
        <v>43259690</v>
      </c>
      <c r="AZ12" s="68">
        <f t="shared" si="12"/>
        <v>0</v>
      </c>
      <c r="BA12" s="54" t="s">
        <v>178</v>
      </c>
      <c r="BB12" s="137">
        <v>1</v>
      </c>
      <c r="BC12" s="137">
        <v>1</v>
      </c>
    </row>
    <row r="13" spans="1:55" s="69" customFormat="1" ht="94.5" customHeight="1" x14ac:dyDescent="0.25">
      <c r="A13" s="53">
        <f t="shared" si="5"/>
        <v>12</v>
      </c>
      <c r="B13" s="54" t="s">
        <v>6</v>
      </c>
      <c r="C13" s="53">
        <f>IFERROR(VLOOKUP(B13,UNIDADES!$A:$F,2,FALSE)," ")</f>
        <v>21</v>
      </c>
      <c r="D13" s="53" t="str">
        <f>IFERROR(VLOOKUP(B13,UNIDADES!$A:$F,4,FALSE)," ")</f>
        <v>REGIÓN 7</v>
      </c>
      <c r="E13" s="53" t="str">
        <f>IFERROR(VLOOKUP(B13,UNIDADES!$A:$F,5,FALSE)," ")</f>
        <v>DEPARTAMENTO DE POLICÍA CASANARE</v>
      </c>
      <c r="F13" s="53" t="str">
        <f>IFERROR(VLOOKUP(B13,UNIDADES!$A:$F,6,FALSE)," ")</f>
        <v>844000016-1</v>
      </c>
      <c r="G13" s="55" t="s">
        <v>387</v>
      </c>
      <c r="H13" s="55">
        <v>3107749147</v>
      </c>
      <c r="I13" s="56" t="s">
        <v>388</v>
      </c>
      <c r="J13" s="56" t="s">
        <v>389</v>
      </c>
      <c r="K13" s="57" t="s">
        <v>392</v>
      </c>
      <c r="L13" s="57" t="s">
        <v>464</v>
      </c>
      <c r="M13" s="96" t="s">
        <v>496</v>
      </c>
      <c r="N13" s="58">
        <v>0</v>
      </c>
      <c r="O13" s="58">
        <v>33400000</v>
      </c>
      <c r="P13" s="58">
        <v>0</v>
      </c>
      <c r="Q13" s="59">
        <f t="shared" si="0"/>
        <v>33400000</v>
      </c>
      <c r="R13" s="59">
        <f>+N13+Q13</f>
        <v>33400000</v>
      </c>
      <c r="S13" s="58">
        <v>0</v>
      </c>
      <c r="T13" s="59">
        <f t="shared" ref="T13:T14" si="16">+R13+S13</f>
        <v>33400000</v>
      </c>
      <c r="U13" s="60">
        <v>0</v>
      </c>
      <c r="V13" s="70">
        <v>43144</v>
      </c>
      <c r="W13" s="70">
        <v>43157</v>
      </c>
      <c r="X13" s="58">
        <v>33400000</v>
      </c>
      <c r="Y13" s="57" t="s">
        <v>469</v>
      </c>
      <c r="Z13" s="62" t="s">
        <v>273</v>
      </c>
      <c r="AA13" s="49" t="s">
        <v>470</v>
      </c>
      <c r="AB13" s="55" t="s">
        <v>409</v>
      </c>
      <c r="AC13" s="71">
        <v>43129</v>
      </c>
      <c r="AD13" s="71">
        <v>43157</v>
      </c>
      <c r="AE13" s="71">
        <v>43159</v>
      </c>
      <c r="AF13" s="55" t="s">
        <v>409</v>
      </c>
      <c r="AG13" s="63" t="str">
        <f t="shared" ref="AG13:AG14" si="17">IFERROR(IF(AK13&lt;=AE13,"CUMPLIO","NO CUMPLIO")," ")</f>
        <v>CUMPLIO</v>
      </c>
      <c r="AH13" s="64">
        <f t="shared" si="2"/>
        <v>0</v>
      </c>
      <c r="AI13" s="47" t="s">
        <v>476</v>
      </c>
      <c r="AJ13" s="55" t="s">
        <v>520</v>
      </c>
      <c r="AK13" s="48">
        <v>42971</v>
      </c>
      <c r="AL13" s="99" t="s">
        <v>554</v>
      </c>
      <c r="AM13" s="49" t="s">
        <v>482</v>
      </c>
      <c r="AN13" s="49" t="s">
        <v>483</v>
      </c>
      <c r="AO13" s="65" t="s">
        <v>414</v>
      </c>
      <c r="AP13" s="65" t="s">
        <v>484</v>
      </c>
      <c r="AQ13" s="61">
        <v>33400000</v>
      </c>
      <c r="AR13" s="60">
        <v>0</v>
      </c>
      <c r="AS13" s="59">
        <f>+AQ13+AR13</f>
        <v>33400000</v>
      </c>
      <c r="AT13" s="61">
        <v>33400000</v>
      </c>
      <c r="AU13" s="58">
        <v>0</v>
      </c>
      <c r="AV13" s="66">
        <v>43159</v>
      </c>
      <c r="AW13" s="66">
        <v>43312</v>
      </c>
      <c r="AX13" s="54" t="s">
        <v>253</v>
      </c>
      <c r="AY13" s="67">
        <v>33400000</v>
      </c>
      <c r="AZ13" s="68">
        <f t="shared" si="12"/>
        <v>0</v>
      </c>
      <c r="BA13" s="54" t="s">
        <v>178</v>
      </c>
      <c r="BB13" s="137">
        <v>1</v>
      </c>
      <c r="BC13" s="137">
        <v>1</v>
      </c>
    </row>
    <row r="14" spans="1:55" s="69" customFormat="1" ht="101.25" customHeight="1" x14ac:dyDescent="0.25">
      <c r="A14" s="53">
        <f t="shared" si="5"/>
        <v>13</v>
      </c>
      <c r="B14" s="54" t="s">
        <v>6</v>
      </c>
      <c r="C14" s="53">
        <f>IFERROR(VLOOKUP(B14,UNIDADES!$A:$F,2,FALSE)," ")</f>
        <v>21</v>
      </c>
      <c r="D14" s="53" t="str">
        <f>IFERROR(VLOOKUP(B14,UNIDADES!$A:$F,4,FALSE)," ")</f>
        <v>REGIÓN 7</v>
      </c>
      <c r="E14" s="53" t="str">
        <f>IFERROR(VLOOKUP(B14,UNIDADES!$A:$F,5,FALSE)," ")</f>
        <v>DEPARTAMENTO DE POLICÍA CASANARE</v>
      </c>
      <c r="F14" s="53" t="str">
        <f>IFERROR(VLOOKUP(B14,UNIDADES!$A:$F,6,FALSE)," ")</f>
        <v>844000016-1</v>
      </c>
      <c r="G14" s="55" t="s">
        <v>387</v>
      </c>
      <c r="H14" s="55">
        <v>3107749147</v>
      </c>
      <c r="I14" s="56" t="s">
        <v>388</v>
      </c>
      <c r="J14" s="56" t="s">
        <v>389</v>
      </c>
      <c r="K14" s="57" t="s">
        <v>392</v>
      </c>
      <c r="L14" s="57" t="s">
        <v>464</v>
      </c>
      <c r="M14" s="99" t="s">
        <v>558</v>
      </c>
      <c r="N14" s="58">
        <v>0</v>
      </c>
      <c r="O14" s="58">
        <v>25000000</v>
      </c>
      <c r="P14" s="58">
        <f>7400000+2000000</f>
        <v>9400000</v>
      </c>
      <c r="Q14" s="59">
        <f t="shared" ref="Q14" si="18">+O14+P14</f>
        <v>34400000</v>
      </c>
      <c r="R14" s="59">
        <v>34400000</v>
      </c>
      <c r="S14" s="58">
        <v>0</v>
      </c>
      <c r="T14" s="59">
        <f t="shared" si="16"/>
        <v>34400000</v>
      </c>
      <c r="U14" s="60">
        <v>0</v>
      </c>
      <c r="V14" s="70">
        <v>43144</v>
      </c>
      <c r="W14" s="70">
        <v>43157</v>
      </c>
      <c r="X14" s="61">
        <v>34400000</v>
      </c>
      <c r="Y14" s="55" t="s">
        <v>469</v>
      </c>
      <c r="Z14" s="62" t="s">
        <v>273</v>
      </c>
      <c r="AA14" s="49" t="s">
        <v>474</v>
      </c>
      <c r="AB14" s="55" t="s">
        <v>409</v>
      </c>
      <c r="AC14" s="70">
        <v>43144</v>
      </c>
      <c r="AD14" s="70">
        <v>43157</v>
      </c>
      <c r="AE14" s="70">
        <v>43159</v>
      </c>
      <c r="AF14" s="55" t="s">
        <v>409</v>
      </c>
      <c r="AG14" s="63" t="str">
        <f t="shared" si="17"/>
        <v>CUMPLIO</v>
      </c>
      <c r="AH14" s="64">
        <f t="shared" ref="AH14" si="19">X14-AS14</f>
        <v>0</v>
      </c>
      <c r="AI14" s="47" t="s">
        <v>480</v>
      </c>
      <c r="AJ14" s="55" t="s">
        <v>549</v>
      </c>
      <c r="AK14" s="48">
        <v>42977</v>
      </c>
      <c r="AL14" s="99" t="s">
        <v>559</v>
      </c>
      <c r="AM14" s="49" t="s">
        <v>489</v>
      </c>
      <c r="AN14" s="49" t="s">
        <v>490</v>
      </c>
      <c r="AO14" s="65" t="s">
        <v>414</v>
      </c>
      <c r="AP14" s="65" t="s">
        <v>491</v>
      </c>
      <c r="AQ14" s="61">
        <v>34400000</v>
      </c>
      <c r="AR14" s="60">
        <v>0</v>
      </c>
      <c r="AS14" s="59">
        <f t="shared" ref="AS14" si="20">+AQ14+AR14</f>
        <v>34400000</v>
      </c>
      <c r="AT14" s="61">
        <v>34400000</v>
      </c>
      <c r="AU14" s="58">
        <v>0</v>
      </c>
      <c r="AV14" s="66">
        <v>42982</v>
      </c>
      <c r="AW14" s="66">
        <v>43312</v>
      </c>
      <c r="AX14" s="54" t="s">
        <v>253</v>
      </c>
      <c r="AY14" s="61">
        <v>34400000</v>
      </c>
      <c r="AZ14" s="68">
        <f t="shared" si="12"/>
        <v>0</v>
      </c>
      <c r="BA14" s="54" t="s">
        <v>178</v>
      </c>
      <c r="BB14" s="137">
        <v>1</v>
      </c>
      <c r="BC14" s="137">
        <v>1</v>
      </c>
    </row>
    <row r="15" spans="1:55" s="69" customFormat="1" ht="83.25" customHeight="1" x14ac:dyDescent="0.25">
      <c r="A15" s="53">
        <f t="shared" si="5"/>
        <v>14</v>
      </c>
      <c r="B15" s="54" t="s">
        <v>6</v>
      </c>
      <c r="C15" s="53">
        <f>IFERROR(VLOOKUP(B15,UNIDADES!$A:$F,2,FALSE)," ")</f>
        <v>21</v>
      </c>
      <c r="D15" s="53" t="str">
        <f>IFERROR(VLOOKUP(B15,UNIDADES!$A:$F,4,FALSE)," ")</f>
        <v>REGIÓN 7</v>
      </c>
      <c r="E15" s="53" t="str">
        <f>IFERROR(VLOOKUP(B15,UNIDADES!$A:$F,5,FALSE)," ")</f>
        <v>DEPARTAMENTO DE POLICÍA CASANARE</v>
      </c>
      <c r="F15" s="53" t="str">
        <f>IFERROR(VLOOKUP(B15,UNIDADES!$A:$F,6,FALSE)," ")</f>
        <v>844000016-1</v>
      </c>
      <c r="G15" s="55" t="s">
        <v>387</v>
      </c>
      <c r="H15" s="55">
        <v>3107749147</v>
      </c>
      <c r="I15" s="56" t="s">
        <v>388</v>
      </c>
      <c r="J15" s="56" t="s">
        <v>389</v>
      </c>
      <c r="K15" s="57" t="s">
        <v>392</v>
      </c>
      <c r="L15" s="57" t="s">
        <v>394</v>
      </c>
      <c r="M15" s="96" t="s">
        <v>401</v>
      </c>
      <c r="N15" s="58">
        <v>0</v>
      </c>
      <c r="O15" s="58">
        <v>8783333</v>
      </c>
      <c r="P15" s="58">
        <v>0</v>
      </c>
      <c r="Q15" s="59">
        <f t="shared" si="0"/>
        <v>8783333</v>
      </c>
      <c r="R15" s="59">
        <f t="shared" si="13"/>
        <v>8783333</v>
      </c>
      <c r="S15" s="58">
        <v>0</v>
      </c>
      <c r="T15" s="59">
        <f t="shared" si="11"/>
        <v>8783333</v>
      </c>
      <c r="U15" s="60">
        <v>0</v>
      </c>
      <c r="V15" s="70">
        <v>43153</v>
      </c>
      <c r="W15" s="70">
        <v>43158</v>
      </c>
      <c r="X15" s="58">
        <v>8783333</v>
      </c>
      <c r="Y15" s="49" t="s">
        <v>439</v>
      </c>
      <c r="Z15" s="62" t="s">
        <v>162</v>
      </c>
      <c r="AA15" s="57" t="s">
        <v>440</v>
      </c>
      <c r="AB15" s="55" t="s">
        <v>409</v>
      </c>
      <c r="AC15" s="71">
        <v>43153</v>
      </c>
      <c r="AD15" s="71">
        <v>43158</v>
      </c>
      <c r="AE15" s="71">
        <v>43190</v>
      </c>
      <c r="AF15" s="55" t="s">
        <v>410</v>
      </c>
      <c r="AG15" s="63" t="str">
        <f t="shared" si="15"/>
        <v>CUMPLIO</v>
      </c>
      <c r="AH15" s="64">
        <f t="shared" si="2"/>
        <v>0</v>
      </c>
      <c r="AI15" s="72" t="s">
        <v>450</v>
      </c>
      <c r="AJ15" s="55" t="s">
        <v>451</v>
      </c>
      <c r="AK15" s="70">
        <v>43167</v>
      </c>
      <c r="AL15" s="100" t="s">
        <v>401</v>
      </c>
      <c r="AM15" s="57" t="s">
        <v>442</v>
      </c>
      <c r="AN15" s="57" t="s">
        <v>443</v>
      </c>
      <c r="AO15" s="65" t="s">
        <v>414</v>
      </c>
      <c r="AP15" s="73" t="s">
        <v>444</v>
      </c>
      <c r="AQ15" s="60">
        <v>8783333</v>
      </c>
      <c r="AR15" s="60">
        <v>0</v>
      </c>
      <c r="AS15" s="59">
        <f t="shared" si="14"/>
        <v>8783333</v>
      </c>
      <c r="AT15" s="58">
        <v>8783333</v>
      </c>
      <c r="AU15" s="58">
        <v>0</v>
      </c>
      <c r="AV15" s="75">
        <v>43169</v>
      </c>
      <c r="AW15" s="75">
        <v>43250</v>
      </c>
      <c r="AX15" s="54" t="s">
        <v>253</v>
      </c>
      <c r="AY15" s="60">
        <v>8783333</v>
      </c>
      <c r="AZ15" s="68">
        <f t="shared" si="12"/>
        <v>0</v>
      </c>
      <c r="BA15" s="54" t="s">
        <v>178</v>
      </c>
      <c r="BB15" s="137">
        <v>1</v>
      </c>
      <c r="BC15" s="137">
        <v>1</v>
      </c>
    </row>
    <row r="16" spans="1:55" s="69" customFormat="1" ht="72.75" customHeight="1" x14ac:dyDescent="0.25">
      <c r="A16" s="53">
        <f t="shared" si="5"/>
        <v>15</v>
      </c>
      <c r="B16" s="54" t="s">
        <v>6</v>
      </c>
      <c r="C16" s="53">
        <f>IFERROR(VLOOKUP(B16,UNIDADES!$A:$F,2,FALSE)," ")</f>
        <v>21</v>
      </c>
      <c r="D16" s="53" t="str">
        <f>IFERROR(VLOOKUP(B16,UNIDADES!$A:$F,4,FALSE)," ")</f>
        <v>REGIÓN 7</v>
      </c>
      <c r="E16" s="53" t="str">
        <f>IFERROR(VLOOKUP(B16,UNIDADES!$A:$F,5,FALSE)," ")</f>
        <v>DEPARTAMENTO DE POLICÍA CASANARE</v>
      </c>
      <c r="F16" s="53" t="str">
        <f>IFERROR(VLOOKUP(B16,UNIDADES!$A:$F,6,FALSE)," ")</f>
        <v>844000016-1</v>
      </c>
      <c r="G16" s="55" t="s">
        <v>387</v>
      </c>
      <c r="H16" s="55">
        <v>3107749147</v>
      </c>
      <c r="I16" s="56" t="s">
        <v>388</v>
      </c>
      <c r="J16" s="56" t="s">
        <v>389</v>
      </c>
      <c r="K16" s="57" t="s">
        <v>392</v>
      </c>
      <c r="L16" s="49" t="s">
        <v>394</v>
      </c>
      <c r="M16" s="96" t="s">
        <v>402</v>
      </c>
      <c r="N16" s="58">
        <v>0</v>
      </c>
      <c r="O16" s="58">
        <v>1000000</v>
      </c>
      <c r="P16" s="58">
        <v>0</v>
      </c>
      <c r="Q16" s="59">
        <f t="shared" si="0"/>
        <v>1000000</v>
      </c>
      <c r="R16" s="59">
        <f>+N16+Q16</f>
        <v>1000000</v>
      </c>
      <c r="S16" s="58">
        <v>0</v>
      </c>
      <c r="T16" s="59">
        <f t="shared" si="11"/>
        <v>1000000</v>
      </c>
      <c r="U16" s="60">
        <v>0</v>
      </c>
      <c r="V16" s="70">
        <v>43168</v>
      </c>
      <c r="W16" s="70">
        <v>43180</v>
      </c>
      <c r="X16" s="58">
        <v>1000000</v>
      </c>
      <c r="Y16" s="49" t="s">
        <v>439</v>
      </c>
      <c r="Z16" s="62" t="s">
        <v>162</v>
      </c>
      <c r="AA16" s="49" t="s">
        <v>407</v>
      </c>
      <c r="AB16" s="55" t="s">
        <v>409</v>
      </c>
      <c r="AC16" s="71">
        <v>43175</v>
      </c>
      <c r="AD16" s="71">
        <v>43180</v>
      </c>
      <c r="AE16" s="71">
        <v>43190</v>
      </c>
      <c r="AF16" s="55" t="s">
        <v>410</v>
      </c>
      <c r="AG16" s="63" t="str">
        <f>IFERROR(IF(AK16&lt;=AE16,"CUMPLIO","NO CUMPLIO")," ")</f>
        <v>CUMPLIO</v>
      </c>
      <c r="AH16" s="64">
        <f t="shared" si="2"/>
        <v>0</v>
      </c>
      <c r="AI16" s="72" t="s">
        <v>428</v>
      </c>
      <c r="AJ16" s="55" t="s">
        <v>437</v>
      </c>
      <c r="AK16" s="70">
        <v>43187</v>
      </c>
      <c r="AL16" s="96" t="s">
        <v>402</v>
      </c>
      <c r="AM16" s="55" t="s">
        <v>429</v>
      </c>
      <c r="AN16" s="49" t="s">
        <v>430</v>
      </c>
      <c r="AO16" s="61" t="s">
        <v>414</v>
      </c>
      <c r="AP16" s="61" t="s">
        <v>431</v>
      </c>
      <c r="AQ16" s="60">
        <v>1000000</v>
      </c>
      <c r="AR16" s="60">
        <v>0</v>
      </c>
      <c r="AS16" s="59">
        <f t="shared" si="14"/>
        <v>1000000</v>
      </c>
      <c r="AT16" s="58">
        <v>1000000</v>
      </c>
      <c r="AU16" s="58">
        <v>0</v>
      </c>
      <c r="AV16" s="76">
        <v>43192</v>
      </c>
      <c r="AW16" s="76">
        <v>43197</v>
      </c>
      <c r="AX16" s="54" t="s">
        <v>265</v>
      </c>
      <c r="AY16" s="60">
        <v>1000000</v>
      </c>
      <c r="AZ16" s="68">
        <f t="shared" si="12"/>
        <v>0</v>
      </c>
      <c r="BA16" s="54" t="s">
        <v>178</v>
      </c>
      <c r="BB16" s="137">
        <v>1</v>
      </c>
      <c r="BC16" s="137">
        <v>1</v>
      </c>
    </row>
    <row r="17" spans="1:55" s="69" customFormat="1" ht="28.5" x14ac:dyDescent="0.25">
      <c r="A17" s="53">
        <f t="shared" si="5"/>
        <v>16</v>
      </c>
      <c r="B17" s="54" t="s">
        <v>6</v>
      </c>
      <c r="C17" s="53">
        <f>IFERROR(VLOOKUP(B17,UNIDADES!$A:$F,2,FALSE)," ")</f>
        <v>21</v>
      </c>
      <c r="D17" s="53" t="str">
        <f>IFERROR(VLOOKUP(B17,UNIDADES!$A:$F,4,FALSE)," ")</f>
        <v>REGIÓN 7</v>
      </c>
      <c r="E17" s="53" t="str">
        <f>IFERROR(VLOOKUP(B17,UNIDADES!$A:$F,5,FALSE)," ")</f>
        <v>DEPARTAMENTO DE POLICÍA CASANARE</v>
      </c>
      <c r="F17" s="53" t="str">
        <f>IFERROR(VLOOKUP(B17,UNIDADES!$A:$F,6,FALSE)," ")</f>
        <v>844000016-1</v>
      </c>
      <c r="G17" s="55" t="s">
        <v>387</v>
      </c>
      <c r="H17" s="55">
        <v>3107749147</v>
      </c>
      <c r="I17" s="56" t="s">
        <v>388</v>
      </c>
      <c r="J17" s="56" t="s">
        <v>389</v>
      </c>
      <c r="K17" s="57" t="s">
        <v>392</v>
      </c>
      <c r="L17" s="49" t="s">
        <v>395</v>
      </c>
      <c r="M17" s="96" t="s">
        <v>403</v>
      </c>
      <c r="N17" s="58">
        <v>0</v>
      </c>
      <c r="O17" s="58">
        <v>0</v>
      </c>
      <c r="P17" s="58">
        <v>3000000</v>
      </c>
      <c r="Q17" s="59">
        <f t="shared" si="0"/>
        <v>3000000</v>
      </c>
      <c r="R17" s="59">
        <f t="shared" si="13"/>
        <v>3000000</v>
      </c>
      <c r="S17" s="58">
        <v>0</v>
      </c>
      <c r="T17" s="59">
        <f t="shared" si="11"/>
        <v>3000000</v>
      </c>
      <c r="U17" s="60">
        <v>0</v>
      </c>
      <c r="V17" s="70">
        <v>43175</v>
      </c>
      <c r="W17" s="70">
        <v>43180</v>
      </c>
      <c r="X17" s="58">
        <v>3000000</v>
      </c>
      <c r="Y17" s="49" t="s">
        <v>433</v>
      </c>
      <c r="Z17" s="62" t="s">
        <v>162</v>
      </c>
      <c r="AA17" s="49" t="s">
        <v>441</v>
      </c>
      <c r="AB17" s="55" t="s">
        <v>446</v>
      </c>
      <c r="AC17" s="71">
        <v>43147</v>
      </c>
      <c r="AD17" s="71">
        <v>43180</v>
      </c>
      <c r="AE17" s="71">
        <v>43190</v>
      </c>
      <c r="AF17" s="55" t="s">
        <v>410</v>
      </c>
      <c r="AG17" s="63" t="str">
        <f t="shared" si="15"/>
        <v>CUMPLIO</v>
      </c>
      <c r="AH17" s="64">
        <f t="shared" si="2"/>
        <v>0</v>
      </c>
      <c r="AI17" s="47" t="s">
        <v>452</v>
      </c>
      <c r="AJ17" s="55" t="s">
        <v>495</v>
      </c>
      <c r="AK17" s="70">
        <v>43187</v>
      </c>
      <c r="AL17" s="96" t="s">
        <v>403</v>
      </c>
      <c r="AM17" s="49" t="s">
        <v>453</v>
      </c>
      <c r="AN17" s="49" t="s">
        <v>454</v>
      </c>
      <c r="AO17" s="61" t="s">
        <v>414</v>
      </c>
      <c r="AP17" s="61" t="s">
        <v>455</v>
      </c>
      <c r="AQ17" s="60">
        <v>3000000</v>
      </c>
      <c r="AR17" s="60">
        <v>0</v>
      </c>
      <c r="AS17" s="59">
        <f t="shared" si="14"/>
        <v>3000000</v>
      </c>
      <c r="AT17" s="58">
        <v>3000000</v>
      </c>
      <c r="AU17" s="58">
        <v>0</v>
      </c>
      <c r="AV17" s="76">
        <v>43187</v>
      </c>
      <c r="AW17" s="76">
        <v>43449</v>
      </c>
      <c r="AX17" s="54" t="s">
        <v>253</v>
      </c>
      <c r="AY17" s="60">
        <v>3000000</v>
      </c>
      <c r="AZ17" s="68">
        <f t="shared" si="12"/>
        <v>0</v>
      </c>
      <c r="BA17" s="54" t="s">
        <v>178</v>
      </c>
      <c r="BB17" s="137">
        <v>1</v>
      </c>
      <c r="BC17" s="137">
        <v>1</v>
      </c>
    </row>
    <row r="18" spans="1:55" s="69" customFormat="1" ht="66.75" customHeight="1" x14ac:dyDescent="0.25">
      <c r="A18" s="53">
        <f t="shared" si="5"/>
        <v>17</v>
      </c>
      <c r="B18" s="54" t="s">
        <v>6</v>
      </c>
      <c r="C18" s="53">
        <f>IFERROR(VLOOKUP(B18,UNIDADES!$A:$F,2,FALSE)," ")</f>
        <v>21</v>
      </c>
      <c r="D18" s="53" t="str">
        <f>IFERROR(VLOOKUP(B18,UNIDADES!$A:$F,4,FALSE)," ")</f>
        <v>REGIÓN 7</v>
      </c>
      <c r="E18" s="53" t="str">
        <f>IFERROR(VLOOKUP(B18,UNIDADES!$A:$F,5,FALSE)," ")</f>
        <v>DEPARTAMENTO DE POLICÍA CASANARE</v>
      </c>
      <c r="F18" s="53" t="str">
        <f>IFERROR(VLOOKUP(B18,UNIDADES!$A:$F,6,FALSE)," ")</f>
        <v>844000016-1</v>
      </c>
      <c r="G18" s="55" t="s">
        <v>387</v>
      </c>
      <c r="H18" s="55">
        <v>3107749147</v>
      </c>
      <c r="I18" s="56" t="s">
        <v>388</v>
      </c>
      <c r="J18" s="56" t="s">
        <v>389</v>
      </c>
      <c r="K18" s="57" t="s">
        <v>392</v>
      </c>
      <c r="L18" s="55" t="s">
        <v>464</v>
      </c>
      <c r="M18" s="96" t="s">
        <v>465</v>
      </c>
      <c r="N18" s="58">
        <v>0</v>
      </c>
      <c r="O18" s="58">
        <v>211832524</v>
      </c>
      <c r="P18" s="58">
        <v>0</v>
      </c>
      <c r="Q18" s="59">
        <f t="shared" ref="Q18" si="21">+O18+P18</f>
        <v>211832524</v>
      </c>
      <c r="R18" s="59">
        <f>+N18+Q18</f>
        <v>211832524</v>
      </c>
      <c r="S18" s="58">
        <v>0</v>
      </c>
      <c r="T18" s="59">
        <f t="shared" si="11"/>
        <v>211832524</v>
      </c>
      <c r="U18" s="60">
        <v>0</v>
      </c>
      <c r="V18" s="70">
        <v>43200</v>
      </c>
      <c r="W18" s="70">
        <v>43206</v>
      </c>
      <c r="X18" s="58">
        <v>211832524</v>
      </c>
      <c r="Y18" s="55" t="s">
        <v>438</v>
      </c>
      <c r="Z18" s="62" t="s">
        <v>162</v>
      </c>
      <c r="AA18" s="55">
        <v>27582</v>
      </c>
      <c r="AB18" s="55" t="s">
        <v>124</v>
      </c>
      <c r="AC18" s="71">
        <v>43169</v>
      </c>
      <c r="AD18" s="71">
        <v>43206</v>
      </c>
      <c r="AE18" s="71">
        <v>43175</v>
      </c>
      <c r="AF18" s="55" t="s">
        <v>410</v>
      </c>
      <c r="AG18" s="63" t="str">
        <f>IFERROR(IF(AK18&lt;=AE18,"CUMPLIO","NO CUMPLIO")," ")</f>
        <v>NO CUMPLIO</v>
      </c>
      <c r="AH18" s="64">
        <f t="shared" si="2"/>
        <v>54739182</v>
      </c>
      <c r="AI18" s="72">
        <v>27582</v>
      </c>
      <c r="AJ18" s="55">
        <v>47332</v>
      </c>
      <c r="AK18" s="70">
        <v>43206</v>
      </c>
      <c r="AL18" s="96" t="s">
        <v>465</v>
      </c>
      <c r="AM18" s="55">
        <v>860002400</v>
      </c>
      <c r="AN18" s="55" t="s">
        <v>466</v>
      </c>
      <c r="AO18" s="61" t="s">
        <v>414</v>
      </c>
      <c r="AP18" s="55" t="s">
        <v>467</v>
      </c>
      <c r="AQ18" s="60">
        <v>157093342</v>
      </c>
      <c r="AR18" s="60">
        <v>0</v>
      </c>
      <c r="AS18" s="59">
        <f t="shared" si="14"/>
        <v>157093342</v>
      </c>
      <c r="AT18" s="58">
        <v>157093342</v>
      </c>
      <c r="AU18" s="58">
        <v>0</v>
      </c>
      <c r="AV18" s="71">
        <v>43206</v>
      </c>
      <c r="AW18" s="71">
        <v>43434</v>
      </c>
      <c r="AX18" s="54" t="s">
        <v>265</v>
      </c>
      <c r="AY18" s="60">
        <f>157093342</f>
        <v>157093342</v>
      </c>
      <c r="AZ18" s="68">
        <f t="shared" si="12"/>
        <v>0</v>
      </c>
      <c r="BA18" s="54" t="s">
        <v>178</v>
      </c>
      <c r="BB18" s="137">
        <v>1</v>
      </c>
      <c r="BC18" s="137">
        <v>1</v>
      </c>
    </row>
    <row r="19" spans="1:55" s="69" customFormat="1" ht="63" customHeight="1" x14ac:dyDescent="0.25">
      <c r="A19" s="53">
        <f t="shared" si="5"/>
        <v>18</v>
      </c>
      <c r="B19" s="54" t="s">
        <v>6</v>
      </c>
      <c r="C19" s="53">
        <f>IFERROR(VLOOKUP(B19,UNIDADES!$A:$F,2,FALSE)," ")</f>
        <v>21</v>
      </c>
      <c r="D19" s="53" t="str">
        <f>IFERROR(VLOOKUP(B19,UNIDADES!$A:$F,4,FALSE)," ")</f>
        <v>REGIÓN 7</v>
      </c>
      <c r="E19" s="53" t="str">
        <f>IFERROR(VLOOKUP(B19,UNIDADES!$A:$F,5,FALSE)," ")</f>
        <v>DEPARTAMENTO DE POLICÍA CASANARE</v>
      </c>
      <c r="F19" s="53" t="str">
        <f>IFERROR(VLOOKUP(B19,UNIDADES!$A:$F,6,FALSE)," ")</f>
        <v>844000016-1</v>
      </c>
      <c r="G19" s="55" t="s">
        <v>387</v>
      </c>
      <c r="H19" s="55">
        <v>3107749147</v>
      </c>
      <c r="I19" s="56" t="s">
        <v>388</v>
      </c>
      <c r="J19" s="56" t="s">
        <v>389</v>
      </c>
      <c r="K19" s="55" t="s">
        <v>392</v>
      </c>
      <c r="L19" s="55" t="s">
        <v>457</v>
      </c>
      <c r="M19" s="96" t="s">
        <v>456</v>
      </c>
      <c r="N19" s="58"/>
      <c r="O19" s="58">
        <v>700000000</v>
      </c>
      <c r="P19" s="58">
        <v>35000000</v>
      </c>
      <c r="Q19" s="59">
        <f>+O19+P19</f>
        <v>735000000</v>
      </c>
      <c r="R19" s="59">
        <f t="shared" si="13"/>
        <v>735000000</v>
      </c>
      <c r="S19" s="58">
        <v>0</v>
      </c>
      <c r="T19" s="59">
        <f t="shared" si="11"/>
        <v>735000000</v>
      </c>
      <c r="U19" s="60">
        <v>0</v>
      </c>
      <c r="V19" s="70">
        <v>43160</v>
      </c>
      <c r="W19" s="70">
        <v>43181</v>
      </c>
      <c r="X19" s="58">
        <v>735000000</v>
      </c>
      <c r="Y19" s="55" t="s">
        <v>123</v>
      </c>
      <c r="Z19" s="51" t="s">
        <v>125</v>
      </c>
      <c r="AA19" s="55" t="s">
        <v>458</v>
      </c>
      <c r="AB19" s="55" t="s">
        <v>410</v>
      </c>
      <c r="AC19" s="71">
        <v>43160</v>
      </c>
      <c r="AD19" s="71">
        <v>43181</v>
      </c>
      <c r="AE19" s="71">
        <v>43218</v>
      </c>
      <c r="AF19" s="55" t="s">
        <v>459</v>
      </c>
      <c r="AG19" s="63" t="str">
        <f t="shared" si="15"/>
        <v>CUMPLIO</v>
      </c>
      <c r="AH19" s="64">
        <f t="shared" si="2"/>
        <v>0</v>
      </c>
      <c r="AI19" s="72" t="s">
        <v>460</v>
      </c>
      <c r="AJ19" s="55" t="s">
        <v>508</v>
      </c>
      <c r="AK19" s="70">
        <v>43217</v>
      </c>
      <c r="AL19" s="96" t="s">
        <v>456</v>
      </c>
      <c r="AM19" s="55" t="s">
        <v>461</v>
      </c>
      <c r="AN19" s="74" t="s">
        <v>462</v>
      </c>
      <c r="AO19" s="61" t="s">
        <v>414</v>
      </c>
      <c r="AP19" s="74" t="s">
        <v>462</v>
      </c>
      <c r="AQ19" s="60">
        <v>735000000</v>
      </c>
      <c r="AR19" s="60">
        <v>0</v>
      </c>
      <c r="AS19" s="59">
        <f>+AQ19+AR19</f>
        <v>735000000</v>
      </c>
      <c r="AT19" s="58">
        <v>735000000</v>
      </c>
      <c r="AU19" s="58">
        <v>0</v>
      </c>
      <c r="AV19" s="71">
        <v>43237</v>
      </c>
      <c r="AW19" s="71">
        <v>43421</v>
      </c>
      <c r="AX19" s="54" t="s">
        <v>253</v>
      </c>
      <c r="AY19" s="60">
        <v>591484224.10000002</v>
      </c>
      <c r="AZ19" s="68">
        <f t="shared" si="12"/>
        <v>143515775.89999998</v>
      </c>
      <c r="BA19" s="54" t="s">
        <v>177</v>
      </c>
      <c r="BB19" s="146" t="s">
        <v>640</v>
      </c>
      <c r="BC19" s="146" t="s">
        <v>640</v>
      </c>
    </row>
    <row r="20" spans="1:55" s="69" customFormat="1" ht="94.5" customHeight="1" x14ac:dyDescent="0.25">
      <c r="A20" s="53">
        <f t="shared" si="5"/>
        <v>19</v>
      </c>
      <c r="B20" s="54" t="s">
        <v>6</v>
      </c>
      <c r="C20" s="53">
        <f>IFERROR(VLOOKUP(B20,UNIDADES!$A:$F,2,FALSE)," ")</f>
        <v>21</v>
      </c>
      <c r="D20" s="53" t="str">
        <f>IFERROR(VLOOKUP(B20,UNIDADES!$A:$F,4,FALSE)," ")</f>
        <v>REGIÓN 7</v>
      </c>
      <c r="E20" s="53" t="str">
        <f>IFERROR(VLOOKUP(B20,UNIDADES!$A:$F,5,FALSE)," ")</f>
        <v>DEPARTAMENTO DE POLICÍA CASANARE</v>
      </c>
      <c r="F20" s="53" t="str">
        <f>IFERROR(VLOOKUP(B20,UNIDADES!$A:$F,6,FALSE)," ")</f>
        <v>844000016-1</v>
      </c>
      <c r="G20" s="55" t="s">
        <v>387</v>
      </c>
      <c r="H20" s="55">
        <v>3107749147</v>
      </c>
      <c r="I20" s="56" t="s">
        <v>388</v>
      </c>
      <c r="J20" s="56" t="s">
        <v>389</v>
      </c>
      <c r="K20" s="57" t="s">
        <v>392</v>
      </c>
      <c r="L20" s="57" t="s">
        <v>464</v>
      </c>
      <c r="M20" s="96" t="s">
        <v>560</v>
      </c>
      <c r="N20" s="58">
        <v>0</v>
      </c>
      <c r="O20" s="58">
        <v>100000000</v>
      </c>
      <c r="P20" s="58">
        <v>0</v>
      </c>
      <c r="Q20" s="59">
        <f t="shared" ref="Q20" si="22">+O20+P20</f>
        <v>100000000</v>
      </c>
      <c r="R20" s="59">
        <f>+N20+Q20</f>
        <v>100000000</v>
      </c>
      <c r="S20" s="58">
        <v>0</v>
      </c>
      <c r="T20" s="59">
        <f t="shared" si="11"/>
        <v>100000000</v>
      </c>
      <c r="U20" s="60">
        <v>0</v>
      </c>
      <c r="V20" s="70">
        <v>43217</v>
      </c>
      <c r="W20" s="70">
        <v>43217</v>
      </c>
      <c r="X20" s="58">
        <v>100000000</v>
      </c>
      <c r="Y20" s="57" t="s">
        <v>469</v>
      </c>
      <c r="Z20" s="62" t="s">
        <v>273</v>
      </c>
      <c r="AA20" s="49" t="s">
        <v>470</v>
      </c>
      <c r="AB20" s="55" t="s">
        <v>459</v>
      </c>
      <c r="AC20" s="71">
        <v>43217</v>
      </c>
      <c r="AD20" s="71">
        <v>43217</v>
      </c>
      <c r="AE20" s="71" t="s">
        <v>561</v>
      </c>
      <c r="AF20" s="55" t="s">
        <v>459</v>
      </c>
      <c r="AG20" s="63" t="str">
        <f t="shared" si="15"/>
        <v>CUMPLIO</v>
      </c>
      <c r="AH20" s="64">
        <f t="shared" ref="AH20" si="23">X20-AS20</f>
        <v>0</v>
      </c>
      <c r="AI20" s="47" t="s">
        <v>476</v>
      </c>
      <c r="AJ20" s="55" t="s">
        <v>520</v>
      </c>
      <c r="AK20" s="48">
        <v>42971</v>
      </c>
      <c r="AL20" s="99" t="s">
        <v>562</v>
      </c>
      <c r="AM20" s="49" t="s">
        <v>482</v>
      </c>
      <c r="AN20" s="49" t="s">
        <v>483</v>
      </c>
      <c r="AO20" s="65" t="s">
        <v>414</v>
      </c>
      <c r="AP20" s="65" t="s">
        <v>484</v>
      </c>
      <c r="AQ20" s="61">
        <v>100000000</v>
      </c>
      <c r="AR20" s="60">
        <v>0</v>
      </c>
      <c r="AS20" s="59">
        <f>+AQ20+AR20</f>
        <v>100000000</v>
      </c>
      <c r="AT20" s="61">
        <v>100000000</v>
      </c>
      <c r="AU20" s="58">
        <v>0</v>
      </c>
      <c r="AV20" s="66">
        <v>43218</v>
      </c>
      <c r="AW20" s="66">
        <v>43312</v>
      </c>
      <c r="AX20" s="54" t="s">
        <v>253</v>
      </c>
      <c r="AY20" s="67">
        <f>31154455.53+68845544.47</f>
        <v>100000000</v>
      </c>
      <c r="AZ20" s="68">
        <f t="shared" ref="AZ20" si="24">+AS20-AY20</f>
        <v>0</v>
      </c>
      <c r="BA20" s="54" t="s">
        <v>178</v>
      </c>
      <c r="BB20" s="137">
        <v>1</v>
      </c>
      <c r="BC20" s="137">
        <v>1</v>
      </c>
    </row>
    <row r="21" spans="1:55" s="69" customFormat="1" ht="61.5" customHeight="1" x14ac:dyDescent="0.25">
      <c r="A21" s="53">
        <f t="shared" si="5"/>
        <v>20</v>
      </c>
      <c r="B21" s="54" t="s">
        <v>6</v>
      </c>
      <c r="C21" s="53">
        <f>IFERROR(VLOOKUP(B21,UNIDADES!$A:$F,2,FALSE)," ")</f>
        <v>21</v>
      </c>
      <c r="D21" s="53" t="str">
        <f>IFERROR(VLOOKUP(B21,UNIDADES!$A:$F,4,FALSE)," ")</f>
        <v>REGIÓN 7</v>
      </c>
      <c r="E21" s="53" t="str">
        <f>IFERROR(VLOOKUP(B21,UNIDADES!$A:$F,5,FALSE)," ")</f>
        <v>DEPARTAMENTO DE POLICÍA CASANARE</v>
      </c>
      <c r="F21" s="53" t="str">
        <f>IFERROR(VLOOKUP(B21,UNIDADES!$A:$F,6,FALSE)," ")</f>
        <v>844000016-1</v>
      </c>
      <c r="G21" s="55" t="s">
        <v>387</v>
      </c>
      <c r="H21" s="55">
        <v>3107749147</v>
      </c>
      <c r="I21" s="56" t="s">
        <v>388</v>
      </c>
      <c r="J21" s="56" t="s">
        <v>389</v>
      </c>
      <c r="K21" s="55" t="s">
        <v>392</v>
      </c>
      <c r="L21" s="55" t="s">
        <v>501</v>
      </c>
      <c r="M21" s="96" t="s">
        <v>502</v>
      </c>
      <c r="N21" s="61"/>
      <c r="O21" s="58">
        <v>5600000</v>
      </c>
      <c r="P21" s="58"/>
      <c r="Q21" s="59">
        <f>+O21+P21</f>
        <v>5600000</v>
      </c>
      <c r="R21" s="59">
        <f t="shared" ref="R21" si="25">+N21+Q21</f>
        <v>5600000</v>
      </c>
      <c r="S21" s="58">
        <v>0</v>
      </c>
      <c r="T21" s="59">
        <f t="shared" ref="T21" si="26">+R21+S21</f>
        <v>5600000</v>
      </c>
      <c r="U21" s="60">
        <v>0</v>
      </c>
      <c r="V21" s="70">
        <v>43202</v>
      </c>
      <c r="W21" s="70">
        <v>43214</v>
      </c>
      <c r="X21" s="58">
        <v>5600000</v>
      </c>
      <c r="Y21" s="55" t="s">
        <v>432</v>
      </c>
      <c r="Z21" s="51" t="s">
        <v>162</v>
      </c>
      <c r="AA21" s="55" t="s">
        <v>503</v>
      </c>
      <c r="AB21" s="55" t="s">
        <v>459</v>
      </c>
      <c r="AC21" s="71">
        <v>43202</v>
      </c>
      <c r="AD21" s="71">
        <v>43214</v>
      </c>
      <c r="AE21" s="71">
        <v>43230</v>
      </c>
      <c r="AF21" s="55" t="s">
        <v>512</v>
      </c>
      <c r="AG21" s="63" t="str">
        <f t="shared" ref="AG21" si="27">IFERROR(IF(AK21&lt;=AE21,"CUMPLIO","NO CUMPLIO")," ")</f>
        <v>CUMPLIO</v>
      </c>
      <c r="AH21" s="64">
        <f>X21-AS21</f>
        <v>0</v>
      </c>
      <c r="AI21" s="72" t="s">
        <v>504</v>
      </c>
      <c r="AJ21" s="55" t="s">
        <v>534</v>
      </c>
      <c r="AK21" s="70">
        <v>43224</v>
      </c>
      <c r="AL21" s="96" t="s">
        <v>502</v>
      </c>
      <c r="AM21" s="55" t="s">
        <v>505</v>
      </c>
      <c r="AN21" s="74" t="s">
        <v>506</v>
      </c>
      <c r="AO21" s="61" t="s">
        <v>414</v>
      </c>
      <c r="AP21" s="74" t="s">
        <v>507</v>
      </c>
      <c r="AQ21" s="60">
        <v>5600000</v>
      </c>
      <c r="AR21" s="60">
        <v>0</v>
      </c>
      <c r="AS21" s="59">
        <f>+AQ21+AR21</f>
        <v>5600000</v>
      </c>
      <c r="AT21" s="58">
        <v>5600000</v>
      </c>
      <c r="AU21" s="58">
        <v>0</v>
      </c>
      <c r="AV21" s="71">
        <v>43229</v>
      </c>
      <c r="AW21" s="71">
        <v>43256</v>
      </c>
      <c r="AX21" s="54" t="s">
        <v>253</v>
      </c>
      <c r="AY21" s="60">
        <v>5600000</v>
      </c>
      <c r="AZ21" s="68">
        <f t="shared" ref="AZ21" si="28">+AS21-AY21</f>
        <v>0</v>
      </c>
      <c r="BA21" s="54" t="s">
        <v>178</v>
      </c>
      <c r="BB21" s="137">
        <v>1</v>
      </c>
      <c r="BC21" s="137">
        <v>1</v>
      </c>
    </row>
    <row r="22" spans="1:55" s="84" customFormat="1" ht="61.5" customHeight="1" x14ac:dyDescent="0.25">
      <c r="A22" s="53">
        <f t="shared" si="5"/>
        <v>21</v>
      </c>
      <c r="B22" s="54" t="s">
        <v>6</v>
      </c>
      <c r="C22" s="53">
        <f>IFERROR(VLOOKUP(B22,UNIDADES!$A:$F,2,FALSE)," ")</f>
        <v>21</v>
      </c>
      <c r="D22" s="53" t="str">
        <f>IFERROR(VLOOKUP(B22,UNIDADES!$A:$F,4,FALSE)," ")</f>
        <v>REGIÓN 7</v>
      </c>
      <c r="E22" s="53" t="str">
        <f>IFERROR(VLOOKUP(B22,UNIDADES!$A:$F,5,FALSE)," ")</f>
        <v>DEPARTAMENTO DE POLICÍA CASANARE</v>
      </c>
      <c r="F22" s="53" t="str">
        <f>IFERROR(VLOOKUP(B22,UNIDADES!$A:$F,6,FALSE)," ")</f>
        <v>844000016-1</v>
      </c>
      <c r="G22" s="49" t="s">
        <v>387</v>
      </c>
      <c r="H22" s="49">
        <v>3107749147</v>
      </c>
      <c r="I22" s="77" t="s">
        <v>388</v>
      </c>
      <c r="J22" s="77" t="s">
        <v>389</v>
      </c>
      <c r="K22" s="49" t="s">
        <v>392</v>
      </c>
      <c r="L22" s="49" t="s">
        <v>393</v>
      </c>
      <c r="M22" s="97" t="s">
        <v>509</v>
      </c>
      <c r="N22" s="61"/>
      <c r="O22" s="61">
        <v>0</v>
      </c>
      <c r="P22" s="78">
        <v>54000000</v>
      </c>
      <c r="Q22" s="59">
        <f>+O22+P22</f>
        <v>54000000</v>
      </c>
      <c r="R22" s="59">
        <f>+N22+Q22</f>
        <v>54000000</v>
      </c>
      <c r="S22" s="61">
        <v>0</v>
      </c>
      <c r="T22" s="59">
        <f>+R22+S22</f>
        <v>54000000</v>
      </c>
      <c r="U22" s="79">
        <v>0</v>
      </c>
      <c r="V22" s="76">
        <v>43217</v>
      </c>
      <c r="W22" s="76">
        <v>43222</v>
      </c>
      <c r="X22" s="61">
        <v>54000000</v>
      </c>
      <c r="Y22" s="49" t="s">
        <v>510</v>
      </c>
      <c r="Z22" s="51" t="s">
        <v>162</v>
      </c>
      <c r="AA22" s="80" t="s">
        <v>511</v>
      </c>
      <c r="AB22" s="49" t="s">
        <v>459</v>
      </c>
      <c r="AC22" s="81">
        <v>43217</v>
      </c>
      <c r="AD22" s="81">
        <v>43222</v>
      </c>
      <c r="AE22" s="81">
        <v>43240</v>
      </c>
      <c r="AF22" s="49" t="s">
        <v>512</v>
      </c>
      <c r="AG22" s="63" t="str">
        <f t="shared" ref="AG22" si="29">IFERROR(IF(AK22&lt;=AE22,"CUMPLIO","NO CUMPLIO")," ")</f>
        <v>CUMPLIO</v>
      </c>
      <c r="AH22" s="64">
        <f t="shared" si="2"/>
        <v>0</v>
      </c>
      <c r="AI22" s="47" t="s">
        <v>521</v>
      </c>
      <c r="AJ22" s="49" t="s">
        <v>535</v>
      </c>
      <c r="AK22" s="82">
        <v>43229</v>
      </c>
      <c r="AL22" s="101" t="s">
        <v>509</v>
      </c>
      <c r="AM22" s="80" t="s">
        <v>513</v>
      </c>
      <c r="AN22" s="80" t="s">
        <v>422</v>
      </c>
      <c r="AO22" s="61" t="s">
        <v>414</v>
      </c>
      <c r="AP22" s="83" t="s">
        <v>423</v>
      </c>
      <c r="AQ22" s="79">
        <v>54000000</v>
      </c>
      <c r="AR22" s="79">
        <v>0</v>
      </c>
      <c r="AS22" s="59">
        <f>+AQ22+AR22</f>
        <v>54000000</v>
      </c>
      <c r="AT22" s="61">
        <v>54000000</v>
      </c>
      <c r="AU22" s="61">
        <v>0</v>
      </c>
      <c r="AV22" s="82">
        <v>43231</v>
      </c>
      <c r="AW22" s="82">
        <v>43465</v>
      </c>
      <c r="AX22" s="54" t="s">
        <v>253</v>
      </c>
      <c r="AY22" s="79">
        <f>10000000+44000000</f>
        <v>54000000</v>
      </c>
      <c r="AZ22" s="68">
        <f t="shared" ref="AZ22" si="30">+AS22-AY22</f>
        <v>0</v>
      </c>
      <c r="BA22" s="54" t="s">
        <v>178</v>
      </c>
      <c r="BB22" s="137">
        <v>1</v>
      </c>
      <c r="BC22" s="137">
        <v>1</v>
      </c>
    </row>
    <row r="23" spans="1:55" s="84" customFormat="1" ht="61.5" customHeight="1" x14ac:dyDescent="0.25">
      <c r="A23" s="53">
        <f t="shared" si="5"/>
        <v>22</v>
      </c>
      <c r="B23" s="54" t="s">
        <v>6</v>
      </c>
      <c r="C23" s="53">
        <f>IFERROR(VLOOKUP(B23,UNIDADES!$A:$F,2,FALSE)," ")</f>
        <v>21</v>
      </c>
      <c r="D23" s="53" t="str">
        <f>IFERROR(VLOOKUP(B23,UNIDADES!$A:$F,4,FALSE)," ")</f>
        <v>REGIÓN 7</v>
      </c>
      <c r="E23" s="53" t="str">
        <f>IFERROR(VLOOKUP(B23,UNIDADES!$A:$F,5,FALSE)," ")</f>
        <v>DEPARTAMENTO DE POLICÍA CASANARE</v>
      </c>
      <c r="F23" s="53" t="str">
        <f>IFERROR(VLOOKUP(B23,UNIDADES!$A:$F,6,FALSE)," ")</f>
        <v>844000016-1</v>
      </c>
      <c r="G23" s="49" t="s">
        <v>387</v>
      </c>
      <c r="H23" s="49">
        <v>3107749147</v>
      </c>
      <c r="I23" s="77" t="s">
        <v>388</v>
      </c>
      <c r="J23" s="77" t="s">
        <v>389</v>
      </c>
      <c r="K23" s="49" t="s">
        <v>392</v>
      </c>
      <c r="L23" s="49" t="s">
        <v>555</v>
      </c>
      <c r="M23" s="97" t="s">
        <v>516</v>
      </c>
      <c r="N23" s="61"/>
      <c r="O23" s="61">
        <v>0</v>
      </c>
      <c r="P23" s="78">
        <v>7490000</v>
      </c>
      <c r="Q23" s="59">
        <f>+O23+P23</f>
        <v>7490000</v>
      </c>
      <c r="R23" s="59">
        <f>+N23+Q23</f>
        <v>7490000</v>
      </c>
      <c r="S23" s="61">
        <v>0</v>
      </c>
      <c r="T23" s="59">
        <f>+R23+S23</f>
        <v>7490000</v>
      </c>
      <c r="U23" s="79">
        <v>0</v>
      </c>
      <c r="V23" s="76">
        <v>43217</v>
      </c>
      <c r="W23" s="76">
        <v>43222</v>
      </c>
      <c r="X23" s="61">
        <v>7490000</v>
      </c>
      <c r="Y23" s="49" t="s">
        <v>510</v>
      </c>
      <c r="Z23" s="51" t="s">
        <v>162</v>
      </c>
      <c r="AA23" s="80" t="s">
        <v>556</v>
      </c>
      <c r="AB23" s="49" t="s">
        <v>459</v>
      </c>
      <c r="AC23" s="81">
        <v>43217</v>
      </c>
      <c r="AD23" s="81" t="s">
        <v>518</v>
      </c>
      <c r="AE23" s="81">
        <v>43240</v>
      </c>
      <c r="AF23" s="49" t="s">
        <v>512</v>
      </c>
      <c r="AG23" s="63" t="str">
        <f>IFERROR(IF(AK23&lt;=AE23,"CUMPLIO","NO CUMPLIO")," ")</f>
        <v>CUMPLIO</v>
      </c>
      <c r="AH23" s="64">
        <f t="shared" si="2"/>
        <v>0</v>
      </c>
      <c r="AI23" s="47" t="s">
        <v>519</v>
      </c>
      <c r="AJ23" s="49" t="s">
        <v>536</v>
      </c>
      <c r="AK23" s="82">
        <v>43237</v>
      </c>
      <c r="AL23" s="101" t="s">
        <v>516</v>
      </c>
      <c r="AM23" s="80" t="s">
        <v>515</v>
      </c>
      <c r="AN23" s="80" t="s">
        <v>514</v>
      </c>
      <c r="AO23" s="61" t="s">
        <v>414</v>
      </c>
      <c r="AP23" s="83" t="s">
        <v>517</v>
      </c>
      <c r="AQ23" s="79">
        <v>7490000</v>
      </c>
      <c r="AR23" s="79">
        <v>0</v>
      </c>
      <c r="AS23" s="59">
        <f>+AQ23+AR23</f>
        <v>7490000</v>
      </c>
      <c r="AT23" s="61">
        <v>7490000</v>
      </c>
      <c r="AU23" s="61">
        <v>0</v>
      </c>
      <c r="AV23" s="82">
        <v>43237</v>
      </c>
      <c r="AW23" s="82">
        <v>43287</v>
      </c>
      <c r="AX23" s="54" t="s">
        <v>253</v>
      </c>
      <c r="AY23" s="79">
        <v>7490000</v>
      </c>
      <c r="AZ23" s="68">
        <f>+AS23-AY23</f>
        <v>0</v>
      </c>
      <c r="BA23" s="54" t="s">
        <v>178</v>
      </c>
      <c r="BB23" s="137">
        <v>1</v>
      </c>
      <c r="BC23" s="137">
        <v>1</v>
      </c>
    </row>
    <row r="24" spans="1:55" s="69" customFormat="1" ht="83.25" customHeight="1" x14ac:dyDescent="0.25">
      <c r="A24" s="53">
        <f t="shared" si="5"/>
        <v>23</v>
      </c>
      <c r="B24" s="54" t="s">
        <v>6</v>
      </c>
      <c r="C24" s="53">
        <f>IFERROR(VLOOKUP(B24,UNIDADES!$A:$F,2,FALSE)," ")</f>
        <v>21</v>
      </c>
      <c r="D24" s="53" t="str">
        <f>IFERROR(VLOOKUP(B24,UNIDADES!$A:$F,4,FALSE)," ")</f>
        <v>REGIÓN 7</v>
      </c>
      <c r="E24" s="53" t="str">
        <f>IFERROR(VLOOKUP(B24,UNIDADES!$A:$F,5,FALSE)," ")</f>
        <v>DEPARTAMENTO DE POLICÍA CASANARE</v>
      </c>
      <c r="F24" s="53" t="str">
        <f>IFERROR(VLOOKUP(B24,UNIDADES!$A:$F,6,FALSE)," ")</f>
        <v>844000016-1</v>
      </c>
      <c r="G24" s="55" t="s">
        <v>387</v>
      </c>
      <c r="H24" s="55">
        <v>3107749147</v>
      </c>
      <c r="I24" s="56" t="s">
        <v>388</v>
      </c>
      <c r="J24" s="56" t="s">
        <v>389</v>
      </c>
      <c r="K24" s="57" t="s">
        <v>392</v>
      </c>
      <c r="L24" s="57" t="s">
        <v>394</v>
      </c>
      <c r="M24" s="96" t="s">
        <v>563</v>
      </c>
      <c r="N24" s="58">
        <v>0</v>
      </c>
      <c r="O24" s="58">
        <v>0</v>
      </c>
      <c r="P24" s="58">
        <v>0</v>
      </c>
      <c r="Q24" s="59">
        <f t="shared" ref="Q24" si="31">+O24+P24</f>
        <v>0</v>
      </c>
      <c r="R24" s="59">
        <f t="shared" ref="R24:R25" si="32">+N24+Q24</f>
        <v>0</v>
      </c>
      <c r="S24" s="58">
        <v>0</v>
      </c>
      <c r="T24" s="59">
        <f t="shared" ref="T24:T25" si="33">+R24+S24</f>
        <v>0</v>
      </c>
      <c r="U24" s="60">
        <v>0</v>
      </c>
      <c r="V24" s="70" t="s">
        <v>463</v>
      </c>
      <c r="W24" s="70" t="s">
        <v>564</v>
      </c>
      <c r="X24" s="58">
        <v>0</v>
      </c>
      <c r="Y24" s="49" t="s">
        <v>439</v>
      </c>
      <c r="Z24" s="62" t="s">
        <v>273</v>
      </c>
      <c r="AA24" s="57" t="s">
        <v>440</v>
      </c>
      <c r="AB24" s="55" t="s">
        <v>463</v>
      </c>
      <c r="AC24" s="71" t="s">
        <v>463</v>
      </c>
      <c r="AD24" s="71" t="s">
        <v>463</v>
      </c>
      <c r="AE24" s="71" t="s">
        <v>463</v>
      </c>
      <c r="AF24" s="55" t="s">
        <v>512</v>
      </c>
      <c r="AG24" s="63" t="str">
        <f t="shared" ref="AG24:AG25" si="34">IFERROR(IF(AK24&lt;=AE24,"CUMPLIO","NO CUMPLIO")," ")</f>
        <v>CUMPLIO</v>
      </c>
      <c r="AH24" s="64">
        <f t="shared" ref="AH24:AH25" si="35">X24-AS24</f>
        <v>0</v>
      </c>
      <c r="AI24" s="72" t="s">
        <v>450</v>
      </c>
      <c r="AJ24" s="55" t="s">
        <v>451</v>
      </c>
      <c r="AK24" s="70">
        <v>43167</v>
      </c>
      <c r="AL24" s="100" t="s">
        <v>565</v>
      </c>
      <c r="AM24" s="57" t="s">
        <v>442</v>
      </c>
      <c r="AN24" s="57" t="s">
        <v>443</v>
      </c>
      <c r="AO24" s="65" t="s">
        <v>414</v>
      </c>
      <c r="AP24" s="73" t="s">
        <v>444</v>
      </c>
      <c r="AQ24" s="60">
        <v>0</v>
      </c>
      <c r="AR24" s="60">
        <v>0</v>
      </c>
      <c r="AS24" s="59">
        <f t="shared" ref="AS24" si="36">+AQ24+AR24</f>
        <v>0</v>
      </c>
      <c r="AT24" s="58">
        <v>0</v>
      </c>
      <c r="AU24" s="58">
        <v>0</v>
      </c>
      <c r="AV24" s="75">
        <v>43250</v>
      </c>
      <c r="AW24" s="75">
        <v>43281</v>
      </c>
      <c r="AX24" s="54" t="s">
        <v>253</v>
      </c>
      <c r="AY24" s="60">
        <v>0</v>
      </c>
      <c r="AZ24" s="68">
        <f t="shared" ref="AZ24:AZ25" si="37">+AS24-AY24</f>
        <v>0</v>
      </c>
      <c r="BA24" s="54" t="s">
        <v>178</v>
      </c>
      <c r="BB24" s="137">
        <v>1</v>
      </c>
      <c r="BC24" s="137">
        <v>1</v>
      </c>
    </row>
    <row r="25" spans="1:55" s="69" customFormat="1" ht="61.5" customHeight="1" x14ac:dyDescent="0.25">
      <c r="A25" s="53">
        <f t="shared" si="5"/>
        <v>24</v>
      </c>
      <c r="B25" s="54" t="s">
        <v>6</v>
      </c>
      <c r="C25" s="53">
        <f>IFERROR(VLOOKUP(B25,UNIDADES!$A:$F,2,FALSE)," ")</f>
        <v>21</v>
      </c>
      <c r="D25" s="53" t="str">
        <f>IFERROR(VLOOKUP(B25,UNIDADES!$A:$F,4,FALSE)," ")</f>
        <v>REGIÓN 7</v>
      </c>
      <c r="E25" s="53" t="str">
        <f>IFERROR(VLOOKUP(B25,UNIDADES!$A:$F,5,FALSE)," ")</f>
        <v>DEPARTAMENTO DE POLICÍA CASANARE</v>
      </c>
      <c r="F25" s="53" t="str">
        <f>IFERROR(VLOOKUP(B25,UNIDADES!$A:$F,6,FALSE)," ")</f>
        <v>844000016-1</v>
      </c>
      <c r="G25" s="55" t="s">
        <v>387</v>
      </c>
      <c r="H25" s="55">
        <v>3107749147</v>
      </c>
      <c r="I25" s="56" t="s">
        <v>388</v>
      </c>
      <c r="J25" s="56" t="s">
        <v>389</v>
      </c>
      <c r="K25" s="55" t="s">
        <v>392</v>
      </c>
      <c r="L25" s="55" t="s">
        <v>501</v>
      </c>
      <c r="M25" s="96" t="s">
        <v>571</v>
      </c>
      <c r="N25" s="61"/>
      <c r="O25" s="58">
        <v>0</v>
      </c>
      <c r="P25" s="58"/>
      <c r="Q25" s="59">
        <f>+O25+P25</f>
        <v>0</v>
      </c>
      <c r="R25" s="59">
        <f t="shared" si="32"/>
        <v>0</v>
      </c>
      <c r="S25" s="58">
        <v>0</v>
      </c>
      <c r="T25" s="59">
        <f t="shared" si="33"/>
        <v>0</v>
      </c>
      <c r="U25" s="60">
        <v>0</v>
      </c>
      <c r="V25" s="70" t="s">
        <v>463</v>
      </c>
      <c r="W25" s="70" t="s">
        <v>463</v>
      </c>
      <c r="X25" s="58">
        <v>0</v>
      </c>
      <c r="Y25" s="55" t="s">
        <v>432</v>
      </c>
      <c r="Z25" s="51" t="s">
        <v>162</v>
      </c>
      <c r="AA25" s="55" t="s">
        <v>503</v>
      </c>
      <c r="AB25" s="55" t="s">
        <v>463</v>
      </c>
      <c r="AC25" s="55" t="s">
        <v>463</v>
      </c>
      <c r="AD25" s="55" t="s">
        <v>463</v>
      </c>
      <c r="AE25" s="55" t="s">
        <v>463</v>
      </c>
      <c r="AF25" s="55" t="s">
        <v>497</v>
      </c>
      <c r="AG25" s="63" t="str">
        <f t="shared" si="34"/>
        <v>CUMPLIO</v>
      </c>
      <c r="AH25" s="64">
        <f t="shared" si="35"/>
        <v>0</v>
      </c>
      <c r="AI25" s="72" t="s">
        <v>504</v>
      </c>
      <c r="AJ25" s="55" t="s">
        <v>534</v>
      </c>
      <c r="AK25" s="70">
        <v>43224</v>
      </c>
      <c r="AL25" s="96" t="s">
        <v>570</v>
      </c>
      <c r="AM25" s="55" t="s">
        <v>505</v>
      </c>
      <c r="AN25" s="74" t="s">
        <v>506</v>
      </c>
      <c r="AO25" s="61" t="s">
        <v>414</v>
      </c>
      <c r="AP25" s="74" t="s">
        <v>507</v>
      </c>
      <c r="AQ25" s="60">
        <v>0</v>
      </c>
      <c r="AR25" s="60">
        <v>0</v>
      </c>
      <c r="AS25" s="59">
        <f>+AQ25+AR25</f>
        <v>0</v>
      </c>
      <c r="AT25" s="58">
        <v>0</v>
      </c>
      <c r="AU25" s="58">
        <v>0</v>
      </c>
      <c r="AV25" s="71">
        <v>43256</v>
      </c>
      <c r="AW25" s="71">
        <v>43281</v>
      </c>
      <c r="AX25" s="54" t="s">
        <v>253</v>
      </c>
      <c r="AY25" s="60">
        <v>0</v>
      </c>
      <c r="AZ25" s="68">
        <f t="shared" si="37"/>
        <v>0</v>
      </c>
      <c r="BA25" s="54" t="s">
        <v>178</v>
      </c>
      <c r="BB25" s="137">
        <v>1</v>
      </c>
      <c r="BC25" s="137">
        <v>1</v>
      </c>
    </row>
    <row r="26" spans="1:55" s="69" customFormat="1" ht="61.5" customHeight="1" x14ac:dyDescent="0.25">
      <c r="A26" s="53">
        <f t="shared" si="5"/>
        <v>25</v>
      </c>
      <c r="B26" s="54" t="s">
        <v>6</v>
      </c>
      <c r="C26" s="53">
        <f>IFERROR(VLOOKUP(B26,UNIDADES!$A:$F,2,FALSE)," ")</f>
        <v>21</v>
      </c>
      <c r="D26" s="53" t="str">
        <f>IFERROR(VLOOKUP(B26,UNIDADES!$A:$F,4,FALSE)," ")</f>
        <v>REGIÓN 7</v>
      </c>
      <c r="E26" s="53" t="str">
        <f>IFERROR(VLOOKUP(B26,UNIDADES!$A:$F,5,FALSE)," ")</f>
        <v>DEPARTAMENTO DE POLICÍA CASANARE</v>
      </c>
      <c r="F26" s="53" t="str">
        <f>IFERROR(VLOOKUP(B26,UNIDADES!$A:$F,6,FALSE)," ")</f>
        <v>844000016-1</v>
      </c>
      <c r="G26" s="55" t="s">
        <v>387</v>
      </c>
      <c r="H26" s="55">
        <v>3107749147</v>
      </c>
      <c r="I26" s="56" t="s">
        <v>388</v>
      </c>
      <c r="J26" s="56" t="s">
        <v>389</v>
      </c>
      <c r="K26" s="55" t="s">
        <v>392</v>
      </c>
      <c r="L26" s="55" t="s">
        <v>501</v>
      </c>
      <c r="M26" s="96" t="s">
        <v>572</v>
      </c>
      <c r="N26" s="61"/>
      <c r="O26" s="85">
        <v>2000000</v>
      </c>
      <c r="P26" s="58"/>
      <c r="Q26" s="59">
        <f>+O26+P26</f>
        <v>2000000</v>
      </c>
      <c r="R26" s="59">
        <f t="shared" ref="R26" si="38">+N26+Q26</f>
        <v>2000000</v>
      </c>
      <c r="S26" s="58">
        <v>0</v>
      </c>
      <c r="T26" s="59">
        <f t="shared" ref="T26" si="39">+R26+S26</f>
        <v>2000000</v>
      </c>
      <c r="U26" s="60">
        <v>0</v>
      </c>
      <c r="V26" s="70">
        <v>43263</v>
      </c>
      <c r="W26" s="70">
        <v>43264</v>
      </c>
      <c r="X26" s="58">
        <v>0</v>
      </c>
      <c r="Y26" s="55" t="s">
        <v>432</v>
      </c>
      <c r="Z26" s="51" t="s">
        <v>162</v>
      </c>
      <c r="AA26" s="55" t="s">
        <v>503</v>
      </c>
      <c r="AB26" s="55" t="s">
        <v>525</v>
      </c>
      <c r="AC26" s="70">
        <v>43263</v>
      </c>
      <c r="AD26" s="70">
        <v>43264</v>
      </c>
      <c r="AE26" s="70">
        <v>43281</v>
      </c>
      <c r="AF26" s="55" t="s">
        <v>497</v>
      </c>
      <c r="AG26" s="63" t="str">
        <f t="shared" ref="AG26" si="40">IFERROR(IF(AK26&lt;=AE26,"CUMPLIO","NO CUMPLIO")," ")</f>
        <v>CUMPLIO</v>
      </c>
      <c r="AH26" s="64">
        <f t="shared" ref="AH26" si="41">X26-AS26</f>
        <v>-2000000</v>
      </c>
      <c r="AI26" s="72" t="s">
        <v>504</v>
      </c>
      <c r="AJ26" s="55" t="s">
        <v>534</v>
      </c>
      <c r="AK26" s="70">
        <v>43224</v>
      </c>
      <c r="AL26" s="96" t="s">
        <v>573</v>
      </c>
      <c r="AM26" s="55" t="s">
        <v>505</v>
      </c>
      <c r="AN26" s="74" t="s">
        <v>506</v>
      </c>
      <c r="AO26" s="61" t="s">
        <v>414</v>
      </c>
      <c r="AP26" s="74" t="s">
        <v>507</v>
      </c>
      <c r="AQ26" s="60">
        <v>2000000</v>
      </c>
      <c r="AR26" s="60">
        <v>0</v>
      </c>
      <c r="AS26" s="59">
        <f>+AQ26+AR26</f>
        <v>2000000</v>
      </c>
      <c r="AT26" s="58">
        <v>2000000</v>
      </c>
      <c r="AU26" s="58">
        <v>0</v>
      </c>
      <c r="AV26" s="71">
        <v>43265</v>
      </c>
      <c r="AW26" s="71">
        <v>43281</v>
      </c>
      <c r="AX26" s="54" t="s">
        <v>253</v>
      </c>
      <c r="AY26" s="60">
        <v>2000000</v>
      </c>
      <c r="AZ26" s="68">
        <f t="shared" ref="AZ26" si="42">+AS26-AY26</f>
        <v>0</v>
      </c>
      <c r="BA26" s="54" t="s">
        <v>178</v>
      </c>
      <c r="BB26" s="137">
        <v>1</v>
      </c>
      <c r="BC26" s="137">
        <v>1</v>
      </c>
    </row>
    <row r="27" spans="1:55" s="69" customFormat="1" ht="83.25" customHeight="1" x14ac:dyDescent="0.25">
      <c r="A27" s="53">
        <f t="shared" si="5"/>
        <v>26</v>
      </c>
      <c r="B27" s="54" t="s">
        <v>6</v>
      </c>
      <c r="C27" s="53">
        <f>IFERROR(VLOOKUP(B27,UNIDADES!$A:$F,2,FALSE)," ")</f>
        <v>21</v>
      </c>
      <c r="D27" s="53" t="str">
        <f>IFERROR(VLOOKUP(B27,UNIDADES!$A:$F,4,FALSE)," ")</f>
        <v>REGIÓN 7</v>
      </c>
      <c r="E27" s="53" t="str">
        <f>IFERROR(VLOOKUP(B27,UNIDADES!$A:$F,5,FALSE)," ")</f>
        <v>DEPARTAMENTO DE POLICÍA CASANARE</v>
      </c>
      <c r="F27" s="53" t="str">
        <f>IFERROR(VLOOKUP(B27,UNIDADES!$A:$F,6,FALSE)," ")</f>
        <v>844000016-1</v>
      </c>
      <c r="G27" s="55" t="s">
        <v>387</v>
      </c>
      <c r="H27" s="55">
        <v>3107749147</v>
      </c>
      <c r="I27" s="56" t="s">
        <v>388</v>
      </c>
      <c r="J27" s="56" t="s">
        <v>389</v>
      </c>
      <c r="K27" s="57" t="s">
        <v>392</v>
      </c>
      <c r="L27" s="57" t="s">
        <v>394</v>
      </c>
      <c r="M27" s="96" t="s">
        <v>566</v>
      </c>
      <c r="N27" s="58">
        <v>0</v>
      </c>
      <c r="O27" s="58">
        <v>1976667</v>
      </c>
      <c r="P27" s="58">
        <v>0</v>
      </c>
      <c r="Q27" s="59">
        <f t="shared" ref="Q27:Q29" si="43">+O27+P27</f>
        <v>1976667</v>
      </c>
      <c r="R27" s="59">
        <f t="shared" ref="R27:R28" si="44">+N27+Q27</f>
        <v>1976667</v>
      </c>
      <c r="S27" s="58">
        <v>0</v>
      </c>
      <c r="T27" s="59">
        <f t="shared" ref="T27:T29" si="45">+R27+S27</f>
        <v>1976667</v>
      </c>
      <c r="U27" s="60">
        <v>0</v>
      </c>
      <c r="V27" s="70">
        <v>43264</v>
      </c>
      <c r="W27" s="70">
        <v>43264</v>
      </c>
      <c r="X27" s="58">
        <v>1976667</v>
      </c>
      <c r="Y27" s="49" t="s">
        <v>439</v>
      </c>
      <c r="Z27" s="62" t="s">
        <v>273</v>
      </c>
      <c r="AA27" s="57" t="s">
        <v>440</v>
      </c>
      <c r="AB27" s="55" t="s">
        <v>525</v>
      </c>
      <c r="AC27" s="71">
        <v>43264</v>
      </c>
      <c r="AD27" s="71">
        <v>43264</v>
      </c>
      <c r="AE27" s="71">
        <v>43281</v>
      </c>
      <c r="AF27" s="55" t="s">
        <v>497</v>
      </c>
      <c r="AG27" s="63" t="str">
        <f t="shared" ref="AG27" si="46">IFERROR(IF(AK27&lt;=AE27,"CUMPLIO","NO CUMPLIO")," ")</f>
        <v>CUMPLIO</v>
      </c>
      <c r="AH27" s="64">
        <f t="shared" ref="AH27:AH29" si="47">X27-AS27</f>
        <v>0</v>
      </c>
      <c r="AI27" s="72" t="s">
        <v>450</v>
      </c>
      <c r="AJ27" s="55" t="s">
        <v>451</v>
      </c>
      <c r="AK27" s="70">
        <v>43167</v>
      </c>
      <c r="AL27" s="100" t="s">
        <v>567</v>
      </c>
      <c r="AM27" s="57" t="s">
        <v>442</v>
      </c>
      <c r="AN27" s="57" t="s">
        <v>443</v>
      </c>
      <c r="AO27" s="65" t="s">
        <v>414</v>
      </c>
      <c r="AP27" s="73" t="s">
        <v>444</v>
      </c>
      <c r="AQ27" s="60">
        <v>1976667</v>
      </c>
      <c r="AR27" s="60">
        <v>0</v>
      </c>
      <c r="AS27" s="59">
        <f t="shared" ref="AS27:AS28" si="48">+AQ27+AR27</f>
        <v>1976667</v>
      </c>
      <c r="AT27" s="58">
        <v>1976667</v>
      </c>
      <c r="AU27" s="58">
        <v>0</v>
      </c>
      <c r="AV27" s="75">
        <v>43265</v>
      </c>
      <c r="AW27" s="75">
        <v>43281</v>
      </c>
      <c r="AX27" s="54" t="s">
        <v>253</v>
      </c>
      <c r="AY27" s="60">
        <v>1976667</v>
      </c>
      <c r="AZ27" s="68">
        <f t="shared" ref="AZ27:AZ29" si="49">+AS27-AY27</f>
        <v>0</v>
      </c>
      <c r="BA27" s="54" t="s">
        <v>178</v>
      </c>
      <c r="BB27" s="137">
        <v>1</v>
      </c>
      <c r="BC27" s="137">
        <v>1</v>
      </c>
    </row>
    <row r="28" spans="1:55" s="69" customFormat="1" ht="84" customHeight="1" x14ac:dyDescent="0.25">
      <c r="A28" s="53">
        <f t="shared" si="5"/>
        <v>27</v>
      </c>
      <c r="B28" s="54" t="s">
        <v>6</v>
      </c>
      <c r="C28" s="53">
        <f>IFERROR(VLOOKUP(B28,UNIDADES!$A:$F,2,FALSE)," ")</f>
        <v>21</v>
      </c>
      <c r="D28" s="53" t="str">
        <f>IFERROR(VLOOKUP(B28,UNIDADES!$A:$F,4,FALSE)," ")</f>
        <v>REGIÓN 7</v>
      </c>
      <c r="E28" s="53" t="str">
        <f>IFERROR(VLOOKUP(B28,UNIDADES!$A:$F,5,FALSE)," ")</f>
        <v>DEPARTAMENTO DE POLICÍA CASANARE</v>
      </c>
      <c r="F28" s="53" t="str">
        <f>IFERROR(VLOOKUP(B28,UNIDADES!$A:$F,6,FALSE)," ")</f>
        <v>844000016-1</v>
      </c>
      <c r="G28" s="55" t="s">
        <v>387</v>
      </c>
      <c r="H28" s="55">
        <v>3107749147</v>
      </c>
      <c r="I28" s="56" t="s">
        <v>388</v>
      </c>
      <c r="J28" s="56" t="s">
        <v>389</v>
      </c>
      <c r="K28" s="57" t="s">
        <v>392</v>
      </c>
      <c r="L28" s="57" t="s">
        <v>391</v>
      </c>
      <c r="M28" s="96" t="s">
        <v>568</v>
      </c>
      <c r="N28" s="58">
        <v>0</v>
      </c>
      <c r="O28" s="58">
        <v>16000000</v>
      </c>
      <c r="P28" s="58">
        <v>0</v>
      </c>
      <c r="Q28" s="59">
        <f t="shared" si="43"/>
        <v>16000000</v>
      </c>
      <c r="R28" s="59">
        <f t="shared" si="44"/>
        <v>16000000</v>
      </c>
      <c r="S28" s="58">
        <v>0</v>
      </c>
      <c r="T28" s="59">
        <f t="shared" si="45"/>
        <v>16000000</v>
      </c>
      <c r="U28" s="60">
        <v>0</v>
      </c>
      <c r="V28" s="70">
        <v>43263</v>
      </c>
      <c r="W28" s="70">
        <v>43263</v>
      </c>
      <c r="X28" s="58">
        <v>16000000</v>
      </c>
      <c r="Y28" s="55" t="s">
        <v>432</v>
      </c>
      <c r="Z28" s="62" t="s">
        <v>273</v>
      </c>
      <c r="AA28" s="57" t="s">
        <v>406</v>
      </c>
      <c r="AB28" s="55" t="s">
        <v>525</v>
      </c>
      <c r="AC28" s="71">
        <v>43263</v>
      </c>
      <c r="AD28" s="71">
        <v>43263</v>
      </c>
      <c r="AE28" s="71">
        <v>43281</v>
      </c>
      <c r="AF28" s="55" t="s">
        <v>497</v>
      </c>
      <c r="AG28" s="63" t="str">
        <f>IFERROR(IF(AK28&lt;=AE28,"CUMPLIO","NO CUMPLIO")," ")</f>
        <v>CUMPLIO</v>
      </c>
      <c r="AH28" s="64">
        <f t="shared" si="47"/>
        <v>0</v>
      </c>
      <c r="AI28" s="72" t="s">
        <v>420</v>
      </c>
      <c r="AJ28" s="55" t="s">
        <v>435</v>
      </c>
      <c r="AK28" s="70">
        <v>43158</v>
      </c>
      <c r="AL28" s="96" t="s">
        <v>569</v>
      </c>
      <c r="AM28" s="55" t="s">
        <v>421</v>
      </c>
      <c r="AN28" s="73" t="s">
        <v>422</v>
      </c>
      <c r="AO28" s="65" t="s">
        <v>414</v>
      </c>
      <c r="AP28" s="73" t="s">
        <v>423</v>
      </c>
      <c r="AQ28" s="60">
        <v>16000000</v>
      </c>
      <c r="AR28" s="60">
        <v>0</v>
      </c>
      <c r="AS28" s="59">
        <f t="shared" si="48"/>
        <v>16000000</v>
      </c>
      <c r="AT28" s="58">
        <v>16000000</v>
      </c>
      <c r="AU28" s="58">
        <v>0</v>
      </c>
      <c r="AV28" s="75">
        <v>43265</v>
      </c>
      <c r="AW28" s="75">
        <v>43312</v>
      </c>
      <c r="AX28" s="54" t="s">
        <v>253</v>
      </c>
      <c r="AY28" s="60">
        <v>16000000</v>
      </c>
      <c r="AZ28" s="68">
        <f t="shared" si="49"/>
        <v>0</v>
      </c>
      <c r="BA28" s="54" t="s">
        <v>178</v>
      </c>
      <c r="BB28" s="137">
        <v>1</v>
      </c>
      <c r="BC28" s="137">
        <v>1</v>
      </c>
    </row>
    <row r="29" spans="1:55" s="69" customFormat="1" ht="94.5" customHeight="1" x14ac:dyDescent="0.25">
      <c r="A29" s="53">
        <f t="shared" si="5"/>
        <v>28</v>
      </c>
      <c r="B29" s="54" t="s">
        <v>6</v>
      </c>
      <c r="C29" s="53">
        <f>IFERROR(VLOOKUP(B29,UNIDADES!$A:$F,2,FALSE)," ")</f>
        <v>21</v>
      </c>
      <c r="D29" s="53" t="str">
        <f>IFERROR(VLOOKUP(B29,UNIDADES!$A:$F,4,FALSE)," ")</f>
        <v>REGIÓN 7</v>
      </c>
      <c r="E29" s="53" t="str">
        <f>IFERROR(VLOOKUP(B29,UNIDADES!$A:$F,5,FALSE)," ")</f>
        <v>DEPARTAMENTO DE POLICÍA CASANARE</v>
      </c>
      <c r="F29" s="53" t="str">
        <f>IFERROR(VLOOKUP(B29,UNIDADES!$A:$F,6,FALSE)," ")</f>
        <v>844000016-1</v>
      </c>
      <c r="G29" s="55" t="s">
        <v>387</v>
      </c>
      <c r="H29" s="55">
        <v>3107749147</v>
      </c>
      <c r="I29" s="56" t="s">
        <v>388</v>
      </c>
      <c r="J29" s="56" t="s">
        <v>389</v>
      </c>
      <c r="K29" s="57" t="s">
        <v>392</v>
      </c>
      <c r="L29" s="57" t="s">
        <v>464</v>
      </c>
      <c r="M29" s="96" t="s">
        <v>574</v>
      </c>
      <c r="N29" s="58">
        <v>0</v>
      </c>
      <c r="O29" s="58">
        <v>0</v>
      </c>
      <c r="P29" s="58">
        <v>0</v>
      </c>
      <c r="Q29" s="59">
        <f t="shared" si="43"/>
        <v>0</v>
      </c>
      <c r="R29" s="59">
        <f>+N29+Q29</f>
        <v>0</v>
      </c>
      <c r="S29" s="58">
        <v>0</v>
      </c>
      <c r="T29" s="59">
        <f t="shared" si="45"/>
        <v>0</v>
      </c>
      <c r="U29" s="60">
        <v>0</v>
      </c>
      <c r="V29" s="70" t="s">
        <v>463</v>
      </c>
      <c r="W29" s="70" t="s">
        <v>564</v>
      </c>
      <c r="X29" s="58">
        <v>0</v>
      </c>
      <c r="Y29" s="57" t="s">
        <v>469</v>
      </c>
      <c r="Z29" s="62" t="s">
        <v>273</v>
      </c>
      <c r="AA29" s="49" t="s">
        <v>470</v>
      </c>
      <c r="AB29" s="55" t="s">
        <v>463</v>
      </c>
      <c r="AC29" s="71" t="s">
        <v>463</v>
      </c>
      <c r="AD29" s="71" t="s">
        <v>463</v>
      </c>
      <c r="AE29" s="71" t="s">
        <v>463</v>
      </c>
      <c r="AF29" s="55" t="s">
        <v>497</v>
      </c>
      <c r="AG29" s="63" t="str">
        <f t="shared" ref="AG29" si="50">IFERROR(IF(AK29&lt;=AE29,"CUMPLIO","NO CUMPLIO")," ")</f>
        <v>CUMPLIO</v>
      </c>
      <c r="AH29" s="64">
        <f t="shared" si="47"/>
        <v>0</v>
      </c>
      <c r="AI29" s="47" t="s">
        <v>476</v>
      </c>
      <c r="AJ29" s="55" t="s">
        <v>520</v>
      </c>
      <c r="AK29" s="48">
        <v>42971</v>
      </c>
      <c r="AL29" s="99" t="s">
        <v>575</v>
      </c>
      <c r="AM29" s="49" t="s">
        <v>482</v>
      </c>
      <c r="AN29" s="70" t="s">
        <v>597</v>
      </c>
      <c r="AO29" s="65" t="s">
        <v>414</v>
      </c>
      <c r="AP29" s="65" t="s">
        <v>484</v>
      </c>
      <c r="AQ29" s="61">
        <v>0</v>
      </c>
      <c r="AR29" s="60">
        <v>0</v>
      </c>
      <c r="AS29" s="59">
        <v>0</v>
      </c>
      <c r="AT29" s="61">
        <v>0</v>
      </c>
      <c r="AU29" s="58">
        <v>0</v>
      </c>
      <c r="AV29" s="66">
        <v>43265</v>
      </c>
      <c r="AW29" s="66">
        <v>43343</v>
      </c>
      <c r="AX29" s="54" t="s">
        <v>253</v>
      </c>
      <c r="AY29" s="67">
        <v>0</v>
      </c>
      <c r="AZ29" s="68">
        <f t="shared" si="49"/>
        <v>0</v>
      </c>
      <c r="BA29" s="54" t="s">
        <v>178</v>
      </c>
      <c r="BB29" s="137">
        <v>1</v>
      </c>
      <c r="BC29" s="137">
        <v>1</v>
      </c>
    </row>
    <row r="30" spans="1:55" s="69" customFormat="1" ht="57" x14ac:dyDescent="0.25">
      <c r="A30" s="53">
        <f t="shared" si="5"/>
        <v>29</v>
      </c>
      <c r="B30" s="54" t="s">
        <v>6</v>
      </c>
      <c r="C30" s="53">
        <f>IFERROR(VLOOKUP(B30,UNIDADES!$A:$F,2,FALSE)," ")</f>
        <v>21</v>
      </c>
      <c r="D30" s="53" t="str">
        <f>IFERROR(VLOOKUP(B30,UNIDADES!$A:$F,4,FALSE)," ")</f>
        <v>REGIÓN 7</v>
      </c>
      <c r="E30" s="53" t="str">
        <f>IFERROR(VLOOKUP(B30,UNIDADES!$A:$F,5,FALSE)," ")</f>
        <v>DEPARTAMENTO DE POLICÍA CASANARE</v>
      </c>
      <c r="F30" s="53" t="str">
        <f>IFERROR(VLOOKUP(B30,UNIDADES!$A:$F,6,FALSE)," ")</f>
        <v>844000016-1</v>
      </c>
      <c r="G30" s="55" t="s">
        <v>387</v>
      </c>
      <c r="H30" s="55">
        <v>3107749147</v>
      </c>
      <c r="I30" s="56" t="s">
        <v>388</v>
      </c>
      <c r="J30" s="56" t="s">
        <v>389</v>
      </c>
      <c r="K30" s="55" t="s">
        <v>392</v>
      </c>
      <c r="L30" s="55" t="s">
        <v>522</v>
      </c>
      <c r="M30" s="88" t="s">
        <v>523</v>
      </c>
      <c r="N30" s="58"/>
      <c r="O30" s="86">
        <v>27028328</v>
      </c>
      <c r="P30" s="58">
        <v>0</v>
      </c>
      <c r="Q30" s="59">
        <f t="shared" ref="Q30:Q42" si="51">+O30+P30</f>
        <v>27028328</v>
      </c>
      <c r="R30" s="59">
        <f>+N30+Q30</f>
        <v>27028328</v>
      </c>
      <c r="S30" s="58">
        <v>0</v>
      </c>
      <c r="T30" s="59">
        <f t="shared" si="11"/>
        <v>27028328</v>
      </c>
      <c r="U30" s="60">
        <v>0</v>
      </c>
      <c r="V30" s="70">
        <v>43250</v>
      </c>
      <c r="W30" s="70">
        <v>43291</v>
      </c>
      <c r="X30" s="60">
        <v>27028328</v>
      </c>
      <c r="Y30" s="70" t="s">
        <v>557</v>
      </c>
      <c r="Z30" s="51" t="s">
        <v>499</v>
      </c>
      <c r="AA30" s="70" t="s">
        <v>524</v>
      </c>
      <c r="AB30" s="70" t="s">
        <v>525</v>
      </c>
      <c r="AC30" s="70">
        <v>43269</v>
      </c>
      <c r="AD30" s="70">
        <v>43266</v>
      </c>
      <c r="AE30" s="70">
        <v>43281</v>
      </c>
      <c r="AF30" s="57" t="s">
        <v>497</v>
      </c>
      <c r="AG30" s="63" t="str">
        <f>IFERROR(IF(AK30&lt;=AE30,"CUMPLIO","NO CUMPLIO")," ")</f>
        <v>CUMPLIO</v>
      </c>
      <c r="AH30" s="64">
        <f t="shared" si="2"/>
        <v>0</v>
      </c>
      <c r="AI30" s="87" t="s">
        <v>526</v>
      </c>
      <c r="AJ30" s="70" t="s">
        <v>537</v>
      </c>
      <c r="AK30" s="70">
        <v>43277</v>
      </c>
      <c r="AL30" s="88" t="s">
        <v>523</v>
      </c>
      <c r="AM30" s="70" t="s">
        <v>527</v>
      </c>
      <c r="AN30" s="70" t="s">
        <v>528</v>
      </c>
      <c r="AO30" s="61" t="s">
        <v>414</v>
      </c>
      <c r="AP30" s="70" t="s">
        <v>529</v>
      </c>
      <c r="AQ30" s="60">
        <v>27028328</v>
      </c>
      <c r="AR30" s="60">
        <v>0</v>
      </c>
      <c r="AS30" s="59">
        <f t="shared" ref="AS30:AS42" si="52">+AQ30+AR30</f>
        <v>27028328</v>
      </c>
      <c r="AT30" s="60">
        <v>27028328</v>
      </c>
      <c r="AU30" s="58">
        <v>0</v>
      </c>
      <c r="AV30" s="82">
        <v>43287</v>
      </c>
      <c r="AW30" s="82">
        <v>43403</v>
      </c>
      <c r="AX30" s="54" t="s">
        <v>253</v>
      </c>
      <c r="AY30" s="60">
        <f>27028328</f>
        <v>27028328</v>
      </c>
      <c r="AZ30" s="68">
        <f>+AS30-AY30</f>
        <v>0</v>
      </c>
      <c r="BA30" s="54" t="s">
        <v>178</v>
      </c>
      <c r="BB30" s="137">
        <v>1</v>
      </c>
      <c r="BC30" s="137">
        <v>1</v>
      </c>
    </row>
    <row r="31" spans="1:55" s="89" customFormat="1" ht="28.5" x14ac:dyDescent="0.25">
      <c r="A31" s="53">
        <f t="shared" si="5"/>
        <v>30</v>
      </c>
      <c r="B31" s="54" t="s">
        <v>6</v>
      </c>
      <c r="C31" s="53">
        <f>IFERROR(VLOOKUP(B31,UNIDADES!$A:$F,2,FALSE)," ")</f>
        <v>21</v>
      </c>
      <c r="D31" s="53" t="str">
        <f>IFERROR(VLOOKUP(B31,UNIDADES!$A:$F,4,FALSE)," ")</f>
        <v>REGIÓN 7</v>
      </c>
      <c r="E31" s="53" t="str">
        <f>IFERROR(VLOOKUP(B31,UNIDADES!$A:$F,5,FALSE)," ")</f>
        <v>DEPARTAMENTO DE POLICÍA CASANARE</v>
      </c>
      <c r="F31" s="53" t="str">
        <f>IFERROR(VLOOKUP(B31,UNIDADES!$A:$F,6,FALSE)," ")</f>
        <v>844000016-1</v>
      </c>
      <c r="G31" s="55" t="s">
        <v>387</v>
      </c>
      <c r="H31" s="55">
        <v>3107749147</v>
      </c>
      <c r="I31" s="56" t="s">
        <v>388</v>
      </c>
      <c r="J31" s="56" t="s">
        <v>389</v>
      </c>
      <c r="K31" s="55" t="s">
        <v>392</v>
      </c>
      <c r="L31" s="55" t="s">
        <v>395</v>
      </c>
      <c r="M31" s="50" t="s">
        <v>530</v>
      </c>
      <c r="N31" s="55"/>
      <c r="O31" s="86">
        <v>45012987.530000001</v>
      </c>
      <c r="P31" s="58">
        <v>10000000</v>
      </c>
      <c r="Q31" s="59">
        <f t="shared" si="51"/>
        <v>55012987.530000001</v>
      </c>
      <c r="R31" s="59">
        <f>+N31+Q31</f>
        <v>55012987.530000001</v>
      </c>
      <c r="S31" s="58">
        <v>0</v>
      </c>
      <c r="T31" s="59">
        <f>+R31+S31</f>
        <v>55012987.530000001</v>
      </c>
      <c r="U31" s="60">
        <v>0</v>
      </c>
      <c r="V31" s="70">
        <v>43264</v>
      </c>
      <c r="W31" s="70">
        <v>43272</v>
      </c>
      <c r="X31" s="60">
        <v>55012987.530000001</v>
      </c>
      <c r="Y31" s="70" t="s">
        <v>433</v>
      </c>
      <c r="Z31" s="51" t="s">
        <v>162</v>
      </c>
      <c r="AA31" s="70" t="s">
        <v>531</v>
      </c>
      <c r="AB31" s="70" t="s">
        <v>525</v>
      </c>
      <c r="AC31" s="70">
        <v>43261</v>
      </c>
      <c r="AD31" s="70">
        <v>43272</v>
      </c>
      <c r="AE31" s="70">
        <v>43281</v>
      </c>
      <c r="AF31" s="57" t="s">
        <v>497</v>
      </c>
      <c r="AG31" s="63" t="str">
        <f>IFERROR(IF(AK31&lt;=AE31,"CUMPLIO","NO CUMPLIO")," ")</f>
        <v>CUMPLIO</v>
      </c>
      <c r="AH31" s="64">
        <f>X31-AS31</f>
        <v>20424317.280000001</v>
      </c>
      <c r="AI31" s="87" t="s">
        <v>532</v>
      </c>
      <c r="AJ31" s="70" t="s">
        <v>538</v>
      </c>
      <c r="AK31" s="70">
        <v>43280</v>
      </c>
      <c r="AL31" s="50" t="s">
        <v>530</v>
      </c>
      <c r="AM31" s="70" t="s">
        <v>492</v>
      </c>
      <c r="AN31" s="70" t="s">
        <v>533</v>
      </c>
      <c r="AO31" s="61" t="s">
        <v>414</v>
      </c>
      <c r="AP31" s="70" t="s">
        <v>494</v>
      </c>
      <c r="AQ31" s="60">
        <v>34588670.25</v>
      </c>
      <c r="AR31" s="60">
        <v>0</v>
      </c>
      <c r="AS31" s="59">
        <f t="shared" si="52"/>
        <v>34588670.25</v>
      </c>
      <c r="AT31" s="58">
        <v>34588670.25</v>
      </c>
      <c r="AU31" s="58">
        <v>0</v>
      </c>
      <c r="AV31" s="82">
        <v>43287</v>
      </c>
      <c r="AW31" s="82">
        <v>43317</v>
      </c>
      <c r="AX31" s="54" t="s">
        <v>265</v>
      </c>
      <c r="AY31" s="60">
        <v>34588670.25</v>
      </c>
      <c r="AZ31" s="68">
        <f>+AS31-AY31</f>
        <v>0</v>
      </c>
      <c r="BA31" s="54" t="s">
        <v>178</v>
      </c>
      <c r="BB31" s="137">
        <v>1</v>
      </c>
      <c r="BC31" s="137">
        <v>1</v>
      </c>
    </row>
    <row r="32" spans="1:55" s="69" customFormat="1" ht="162.75" customHeight="1" x14ac:dyDescent="0.25">
      <c r="A32" s="53">
        <f t="shared" si="5"/>
        <v>31</v>
      </c>
      <c r="B32" s="54" t="s">
        <v>6</v>
      </c>
      <c r="C32" s="53">
        <f>IFERROR(VLOOKUP(B32,UNIDADES!$A:$F,2,FALSE)," ")</f>
        <v>21</v>
      </c>
      <c r="D32" s="53" t="str">
        <f>IFERROR(VLOOKUP(B32,UNIDADES!$A:$F,4,FALSE)," ")</f>
        <v>REGIÓN 7</v>
      </c>
      <c r="E32" s="53" t="str">
        <f>IFERROR(VLOOKUP(B32,UNIDADES!$A:$F,5,FALSE)," ")</f>
        <v>DEPARTAMENTO DE POLICÍA CASANARE</v>
      </c>
      <c r="F32" s="53" t="str">
        <f>IFERROR(VLOOKUP(B32,UNIDADES!$A:$F,6,FALSE)," ")</f>
        <v>844000016-1</v>
      </c>
      <c r="G32" s="55" t="s">
        <v>387</v>
      </c>
      <c r="H32" s="55">
        <v>3107749147</v>
      </c>
      <c r="I32" s="56" t="s">
        <v>388</v>
      </c>
      <c r="J32" s="56" t="s">
        <v>389</v>
      </c>
      <c r="K32" s="57" t="s">
        <v>392</v>
      </c>
      <c r="L32" s="57" t="s">
        <v>464</v>
      </c>
      <c r="M32" s="99" t="s">
        <v>576</v>
      </c>
      <c r="N32" s="58">
        <v>0</v>
      </c>
      <c r="O32" s="58">
        <v>0</v>
      </c>
      <c r="P32" s="58"/>
      <c r="Q32" s="59">
        <f t="shared" si="51"/>
        <v>0</v>
      </c>
      <c r="R32" s="59">
        <f>+N32+Q32</f>
        <v>0</v>
      </c>
      <c r="S32" s="58">
        <v>0</v>
      </c>
      <c r="T32" s="59">
        <f t="shared" ref="T32:T33" si="53">+R32+S32</f>
        <v>0</v>
      </c>
      <c r="U32" s="60">
        <v>0</v>
      </c>
      <c r="V32" s="55" t="s">
        <v>463</v>
      </c>
      <c r="W32" s="55" t="s">
        <v>463</v>
      </c>
      <c r="X32" s="61">
        <v>0</v>
      </c>
      <c r="Y32" s="55" t="s">
        <v>469</v>
      </c>
      <c r="Z32" s="62" t="s">
        <v>273</v>
      </c>
      <c r="AA32" s="49" t="s">
        <v>473</v>
      </c>
      <c r="AB32" s="55" t="s">
        <v>463</v>
      </c>
      <c r="AC32" s="55" t="s">
        <v>463</v>
      </c>
      <c r="AD32" s="55" t="s">
        <v>463</v>
      </c>
      <c r="AE32" s="55" t="s">
        <v>463</v>
      </c>
      <c r="AF32" s="55" t="s">
        <v>577</v>
      </c>
      <c r="AG32" s="63" t="str">
        <f t="shared" ref="AG32:AG34" si="54">IFERROR(IF(AK32&lt;=AE32,"CUMPLIO","NO CUMPLIO")," ")</f>
        <v>CUMPLIO</v>
      </c>
      <c r="AH32" s="64">
        <f t="shared" ref="AH32:AH34" si="55">X32-AS32</f>
        <v>0</v>
      </c>
      <c r="AI32" s="47" t="s">
        <v>479</v>
      </c>
      <c r="AJ32" s="55" t="s">
        <v>540</v>
      </c>
      <c r="AK32" s="48">
        <v>42977</v>
      </c>
      <c r="AL32" s="99" t="s">
        <v>578</v>
      </c>
      <c r="AM32" s="49">
        <v>13644484</v>
      </c>
      <c r="AN32" s="49" t="s">
        <v>488</v>
      </c>
      <c r="AO32" s="65" t="s">
        <v>414</v>
      </c>
      <c r="AP32" s="49" t="s">
        <v>488</v>
      </c>
      <c r="AQ32" s="61">
        <v>0</v>
      </c>
      <c r="AR32" s="60">
        <v>0</v>
      </c>
      <c r="AS32" s="59">
        <f t="shared" si="52"/>
        <v>0</v>
      </c>
      <c r="AT32" s="61">
        <v>0</v>
      </c>
      <c r="AU32" s="58">
        <v>0</v>
      </c>
      <c r="AV32" s="66">
        <v>43308</v>
      </c>
      <c r="AW32" s="66">
        <v>43343</v>
      </c>
      <c r="AX32" s="54" t="s">
        <v>253</v>
      </c>
      <c r="AY32" s="67">
        <v>0</v>
      </c>
      <c r="AZ32" s="68">
        <f t="shared" ref="AZ32:AZ34" si="56">+AS32-AY32</f>
        <v>0</v>
      </c>
      <c r="BA32" s="54" t="s">
        <v>178</v>
      </c>
      <c r="BB32" s="137">
        <v>1</v>
      </c>
      <c r="BC32" s="137">
        <v>1</v>
      </c>
    </row>
    <row r="33" spans="1:55" s="69" customFormat="1" ht="101.25" customHeight="1" x14ac:dyDescent="0.25">
      <c r="A33" s="53">
        <f t="shared" si="5"/>
        <v>32</v>
      </c>
      <c r="B33" s="54" t="s">
        <v>6</v>
      </c>
      <c r="C33" s="53">
        <f>IFERROR(VLOOKUP(B33,UNIDADES!$A:$F,2,FALSE)," ")</f>
        <v>21</v>
      </c>
      <c r="D33" s="53" t="str">
        <f>IFERROR(VLOOKUP(B33,UNIDADES!$A:$F,4,FALSE)," ")</f>
        <v>REGIÓN 7</v>
      </c>
      <c r="E33" s="53" t="str">
        <f>IFERROR(VLOOKUP(B33,UNIDADES!$A:$F,5,FALSE)," ")</f>
        <v>DEPARTAMENTO DE POLICÍA CASANARE</v>
      </c>
      <c r="F33" s="53" t="str">
        <f>IFERROR(VLOOKUP(B33,UNIDADES!$A:$F,6,FALSE)," ")</f>
        <v>844000016-1</v>
      </c>
      <c r="G33" s="55" t="s">
        <v>387</v>
      </c>
      <c r="H33" s="55">
        <v>3107749147</v>
      </c>
      <c r="I33" s="56" t="s">
        <v>388</v>
      </c>
      <c r="J33" s="56" t="s">
        <v>389</v>
      </c>
      <c r="K33" s="57" t="s">
        <v>392</v>
      </c>
      <c r="L33" s="57" t="s">
        <v>464</v>
      </c>
      <c r="M33" s="99" t="s">
        <v>579</v>
      </c>
      <c r="N33" s="58">
        <v>0</v>
      </c>
      <c r="O33" s="58">
        <v>0</v>
      </c>
      <c r="P33" s="58">
        <v>0</v>
      </c>
      <c r="Q33" s="59">
        <f t="shared" si="51"/>
        <v>0</v>
      </c>
      <c r="R33" s="59">
        <v>0</v>
      </c>
      <c r="S33" s="58">
        <v>0</v>
      </c>
      <c r="T33" s="59">
        <f t="shared" si="53"/>
        <v>0</v>
      </c>
      <c r="U33" s="60">
        <v>0</v>
      </c>
      <c r="V33" s="55" t="s">
        <v>463</v>
      </c>
      <c r="W33" s="55" t="s">
        <v>463</v>
      </c>
      <c r="X33" s="61">
        <v>0</v>
      </c>
      <c r="Y33" s="55" t="s">
        <v>469</v>
      </c>
      <c r="Z33" s="62" t="s">
        <v>273</v>
      </c>
      <c r="AA33" s="49" t="s">
        <v>474</v>
      </c>
      <c r="AB33" s="55" t="s">
        <v>463</v>
      </c>
      <c r="AC33" s="55" t="s">
        <v>463</v>
      </c>
      <c r="AD33" s="55" t="s">
        <v>463</v>
      </c>
      <c r="AE33" s="55" t="s">
        <v>463</v>
      </c>
      <c r="AF33" s="55" t="s">
        <v>577</v>
      </c>
      <c r="AG33" s="63" t="str">
        <f t="shared" si="54"/>
        <v>CUMPLIO</v>
      </c>
      <c r="AH33" s="64">
        <f t="shared" si="55"/>
        <v>0</v>
      </c>
      <c r="AI33" s="47" t="s">
        <v>480</v>
      </c>
      <c r="AJ33" s="55" t="s">
        <v>549</v>
      </c>
      <c r="AK33" s="48">
        <v>42977</v>
      </c>
      <c r="AL33" s="99" t="s">
        <v>580</v>
      </c>
      <c r="AM33" s="49" t="s">
        <v>489</v>
      </c>
      <c r="AN33" s="49" t="s">
        <v>490</v>
      </c>
      <c r="AO33" s="65" t="s">
        <v>414</v>
      </c>
      <c r="AP33" s="65" t="s">
        <v>491</v>
      </c>
      <c r="AQ33" s="61">
        <v>0</v>
      </c>
      <c r="AR33" s="60">
        <v>0</v>
      </c>
      <c r="AS33" s="59">
        <f t="shared" si="52"/>
        <v>0</v>
      </c>
      <c r="AT33" s="61">
        <v>0</v>
      </c>
      <c r="AU33" s="58">
        <v>0</v>
      </c>
      <c r="AV33" s="66">
        <v>43308</v>
      </c>
      <c r="AW33" s="66">
        <v>43343</v>
      </c>
      <c r="AX33" s="54" t="s">
        <v>253</v>
      </c>
      <c r="AY33" s="61">
        <v>0</v>
      </c>
      <c r="AZ33" s="68">
        <f t="shared" si="56"/>
        <v>0</v>
      </c>
      <c r="BA33" s="54" t="s">
        <v>178</v>
      </c>
      <c r="BB33" s="137">
        <v>1</v>
      </c>
      <c r="BC33" s="137">
        <v>1</v>
      </c>
    </row>
    <row r="34" spans="1:55" s="69" customFormat="1" ht="121.5" customHeight="1" x14ac:dyDescent="0.25">
      <c r="A34" s="53">
        <f t="shared" si="5"/>
        <v>33</v>
      </c>
      <c r="B34" s="54" t="s">
        <v>6</v>
      </c>
      <c r="C34" s="53">
        <f>IFERROR(VLOOKUP(B34,UNIDADES!$A:$F,2,FALSE)," ")</f>
        <v>21</v>
      </c>
      <c r="D34" s="53" t="str">
        <f>IFERROR(VLOOKUP(B34,UNIDADES!$A:$F,4,FALSE)," ")</f>
        <v>REGIÓN 7</v>
      </c>
      <c r="E34" s="53" t="str">
        <f>IFERROR(VLOOKUP(B34,UNIDADES!$A:$F,5,FALSE)," ")</f>
        <v>DEPARTAMENTO DE POLICÍA CASANARE</v>
      </c>
      <c r="F34" s="53" t="str">
        <f>IFERROR(VLOOKUP(B34,UNIDADES!$A:$F,6,FALSE)," ")</f>
        <v>844000016-1</v>
      </c>
      <c r="G34" s="55" t="s">
        <v>387</v>
      </c>
      <c r="H34" s="55">
        <v>3107749147</v>
      </c>
      <c r="I34" s="56" t="s">
        <v>388</v>
      </c>
      <c r="J34" s="56" t="s">
        <v>389</v>
      </c>
      <c r="K34" s="57" t="s">
        <v>392</v>
      </c>
      <c r="L34" s="57" t="s">
        <v>464</v>
      </c>
      <c r="M34" s="99" t="s">
        <v>581</v>
      </c>
      <c r="N34" s="58">
        <v>0</v>
      </c>
      <c r="O34" s="58">
        <v>0</v>
      </c>
      <c r="P34" s="58"/>
      <c r="Q34" s="59">
        <f t="shared" si="51"/>
        <v>0</v>
      </c>
      <c r="R34" s="59">
        <v>0</v>
      </c>
      <c r="S34" s="58">
        <v>0</v>
      </c>
      <c r="T34" s="59">
        <f>+R34+S34</f>
        <v>0</v>
      </c>
      <c r="U34" s="60">
        <v>0</v>
      </c>
      <c r="V34" s="55" t="s">
        <v>463</v>
      </c>
      <c r="W34" s="55" t="s">
        <v>463</v>
      </c>
      <c r="X34" s="61">
        <v>0</v>
      </c>
      <c r="Y34" s="55" t="s">
        <v>469</v>
      </c>
      <c r="Z34" s="62" t="s">
        <v>273</v>
      </c>
      <c r="AA34" s="49" t="s">
        <v>471</v>
      </c>
      <c r="AB34" s="55" t="s">
        <v>463</v>
      </c>
      <c r="AC34" s="55" t="s">
        <v>463</v>
      </c>
      <c r="AD34" s="55" t="s">
        <v>463</v>
      </c>
      <c r="AE34" s="55" t="s">
        <v>463</v>
      </c>
      <c r="AF34" s="55" t="s">
        <v>577</v>
      </c>
      <c r="AG34" s="63" t="str">
        <f t="shared" si="54"/>
        <v>CUMPLIO</v>
      </c>
      <c r="AH34" s="64">
        <f t="shared" si="55"/>
        <v>0</v>
      </c>
      <c r="AI34" s="47" t="s">
        <v>477</v>
      </c>
      <c r="AJ34" s="55" t="s">
        <v>548</v>
      </c>
      <c r="AK34" s="48">
        <v>42976</v>
      </c>
      <c r="AL34" s="99" t="s">
        <v>582</v>
      </c>
      <c r="AM34" s="49" t="s">
        <v>482</v>
      </c>
      <c r="AN34" s="70" t="s">
        <v>597</v>
      </c>
      <c r="AO34" s="65" t="s">
        <v>414</v>
      </c>
      <c r="AP34" s="65" t="s">
        <v>484</v>
      </c>
      <c r="AQ34" s="61">
        <v>0</v>
      </c>
      <c r="AR34" s="60">
        <v>0</v>
      </c>
      <c r="AS34" s="59">
        <f t="shared" si="52"/>
        <v>0</v>
      </c>
      <c r="AT34" s="61">
        <v>0</v>
      </c>
      <c r="AU34" s="58">
        <v>0</v>
      </c>
      <c r="AV34" s="66">
        <v>43312</v>
      </c>
      <c r="AW34" s="66">
        <v>43343</v>
      </c>
      <c r="AX34" s="54" t="s">
        <v>253</v>
      </c>
      <c r="AY34" s="67">
        <v>0</v>
      </c>
      <c r="AZ34" s="68">
        <f t="shared" si="56"/>
        <v>0</v>
      </c>
      <c r="BA34" s="54" t="s">
        <v>178</v>
      </c>
      <c r="BB34" s="137">
        <v>1</v>
      </c>
      <c r="BC34" s="137">
        <v>1</v>
      </c>
    </row>
    <row r="35" spans="1:55" s="69" customFormat="1" ht="162.75" customHeight="1" x14ac:dyDescent="0.25">
      <c r="A35" s="53">
        <f t="shared" si="5"/>
        <v>34</v>
      </c>
      <c r="B35" s="54" t="s">
        <v>6</v>
      </c>
      <c r="C35" s="53">
        <f>IFERROR(VLOOKUP(B35,UNIDADES!$A:$F,2,FALSE)," ")</f>
        <v>21</v>
      </c>
      <c r="D35" s="53" t="str">
        <f>IFERROR(VLOOKUP(B35,UNIDADES!$A:$F,4,FALSE)," ")</f>
        <v>REGIÓN 7</v>
      </c>
      <c r="E35" s="53" t="str">
        <f>IFERROR(VLOOKUP(B35,UNIDADES!$A:$F,5,FALSE)," ")</f>
        <v>DEPARTAMENTO DE POLICÍA CASANARE</v>
      </c>
      <c r="F35" s="53" t="str">
        <f>IFERROR(VLOOKUP(B35,UNIDADES!$A:$F,6,FALSE)," ")</f>
        <v>844000016-1</v>
      </c>
      <c r="G35" s="55" t="s">
        <v>387</v>
      </c>
      <c r="H35" s="55">
        <v>3107749147</v>
      </c>
      <c r="I35" s="56" t="s">
        <v>388</v>
      </c>
      <c r="J35" s="56" t="s">
        <v>389</v>
      </c>
      <c r="K35" s="57" t="s">
        <v>392</v>
      </c>
      <c r="L35" s="57" t="s">
        <v>464</v>
      </c>
      <c r="M35" s="99" t="s">
        <v>583</v>
      </c>
      <c r="N35" s="58">
        <v>0</v>
      </c>
      <c r="O35" s="58">
        <v>50000000</v>
      </c>
      <c r="P35" s="58"/>
      <c r="Q35" s="59">
        <f t="shared" ref="Q35:Q38" si="57">+O35+P35</f>
        <v>50000000</v>
      </c>
      <c r="R35" s="59">
        <f>+N35+Q35</f>
        <v>50000000</v>
      </c>
      <c r="S35" s="58">
        <v>0</v>
      </c>
      <c r="T35" s="59">
        <f t="shared" ref="T35:T37" si="58">+R35+S35</f>
        <v>50000000</v>
      </c>
      <c r="U35" s="60">
        <v>0</v>
      </c>
      <c r="V35" s="70">
        <v>43336</v>
      </c>
      <c r="W35" s="70">
        <v>43339</v>
      </c>
      <c r="X35" s="61">
        <v>50000000</v>
      </c>
      <c r="Y35" s="55" t="s">
        <v>469</v>
      </c>
      <c r="Z35" s="62" t="s">
        <v>273</v>
      </c>
      <c r="AA35" s="49" t="s">
        <v>473</v>
      </c>
      <c r="AB35" s="55" t="s">
        <v>584</v>
      </c>
      <c r="AC35" s="70">
        <v>43336</v>
      </c>
      <c r="AD35" s="70">
        <v>43339</v>
      </c>
      <c r="AE35" s="70">
        <v>43343</v>
      </c>
      <c r="AF35" s="55" t="s">
        <v>584</v>
      </c>
      <c r="AG35" s="63" t="str">
        <f t="shared" ref="AG35:AG42" si="59">IFERROR(IF(AK35&lt;=AE35,"CUMPLIO","NO CUMPLIO")," ")</f>
        <v>CUMPLIO</v>
      </c>
      <c r="AH35" s="64">
        <f t="shared" ref="AH35:AH38" si="60">X35-AS35</f>
        <v>0</v>
      </c>
      <c r="AI35" s="47" t="s">
        <v>479</v>
      </c>
      <c r="AJ35" s="55" t="s">
        <v>540</v>
      </c>
      <c r="AK35" s="48">
        <v>42977</v>
      </c>
      <c r="AL35" s="99" t="s">
        <v>585</v>
      </c>
      <c r="AM35" s="49">
        <v>13644484</v>
      </c>
      <c r="AN35" s="49" t="s">
        <v>488</v>
      </c>
      <c r="AO35" s="65" t="s">
        <v>414</v>
      </c>
      <c r="AP35" s="49" t="s">
        <v>488</v>
      </c>
      <c r="AQ35" s="61">
        <v>50000000</v>
      </c>
      <c r="AR35" s="60">
        <v>0</v>
      </c>
      <c r="AS35" s="59">
        <f t="shared" ref="AS35:AS36" si="61">+AQ35+AR35</f>
        <v>50000000</v>
      </c>
      <c r="AT35" s="61">
        <v>50000000</v>
      </c>
      <c r="AU35" s="58">
        <v>0</v>
      </c>
      <c r="AV35" s="66">
        <v>43343</v>
      </c>
      <c r="AW35" s="66">
        <v>43373</v>
      </c>
      <c r="AX35" s="54" t="s">
        <v>253</v>
      </c>
      <c r="AY35" s="67">
        <f>50000000</f>
        <v>50000000</v>
      </c>
      <c r="AZ35" s="68">
        <f t="shared" ref="AZ35:AZ42" si="62">+AS35-AY35</f>
        <v>0</v>
      </c>
      <c r="BA35" s="54" t="s">
        <v>178</v>
      </c>
      <c r="BB35" s="137">
        <v>1</v>
      </c>
      <c r="BC35" s="137">
        <v>1</v>
      </c>
    </row>
    <row r="36" spans="1:55" s="69" customFormat="1" ht="101.25" customHeight="1" x14ac:dyDescent="0.25">
      <c r="A36" s="53">
        <f t="shared" si="5"/>
        <v>35</v>
      </c>
      <c r="B36" s="54" t="s">
        <v>6</v>
      </c>
      <c r="C36" s="53">
        <f>IFERROR(VLOOKUP(B36,UNIDADES!$A:$F,2,FALSE)," ")</f>
        <v>21</v>
      </c>
      <c r="D36" s="53" t="str">
        <f>IFERROR(VLOOKUP(B36,UNIDADES!$A:$F,4,FALSE)," ")</f>
        <v>REGIÓN 7</v>
      </c>
      <c r="E36" s="53" t="str">
        <f>IFERROR(VLOOKUP(B36,UNIDADES!$A:$F,5,FALSE)," ")</f>
        <v>DEPARTAMENTO DE POLICÍA CASANARE</v>
      </c>
      <c r="F36" s="53" t="str">
        <f>IFERROR(VLOOKUP(B36,UNIDADES!$A:$F,6,FALSE)," ")</f>
        <v>844000016-1</v>
      </c>
      <c r="G36" s="55" t="s">
        <v>387</v>
      </c>
      <c r="H36" s="55">
        <v>3107749147</v>
      </c>
      <c r="I36" s="56" t="s">
        <v>388</v>
      </c>
      <c r="J36" s="56" t="s">
        <v>389</v>
      </c>
      <c r="K36" s="57" t="s">
        <v>392</v>
      </c>
      <c r="L36" s="57" t="s">
        <v>464</v>
      </c>
      <c r="M36" s="99" t="s">
        <v>586</v>
      </c>
      <c r="N36" s="58">
        <v>0</v>
      </c>
      <c r="O36" s="58">
        <v>10000000</v>
      </c>
      <c r="P36" s="58">
        <v>0</v>
      </c>
      <c r="Q36" s="59">
        <f t="shared" si="57"/>
        <v>10000000</v>
      </c>
      <c r="R36" s="59">
        <v>10000000</v>
      </c>
      <c r="S36" s="58">
        <v>0</v>
      </c>
      <c r="T36" s="59">
        <f t="shared" si="58"/>
        <v>10000000</v>
      </c>
      <c r="U36" s="60">
        <v>0</v>
      </c>
      <c r="V36" s="70">
        <v>43337</v>
      </c>
      <c r="W36" s="70">
        <v>43339</v>
      </c>
      <c r="X36" s="61">
        <v>10000000</v>
      </c>
      <c r="Y36" s="55" t="s">
        <v>469</v>
      </c>
      <c r="Z36" s="62" t="s">
        <v>273</v>
      </c>
      <c r="AA36" s="49" t="s">
        <v>474</v>
      </c>
      <c r="AB36" s="55" t="s">
        <v>584</v>
      </c>
      <c r="AC36" s="70">
        <v>43337</v>
      </c>
      <c r="AD36" s="70">
        <v>43339</v>
      </c>
      <c r="AE36" s="70">
        <v>43343</v>
      </c>
      <c r="AF36" s="55" t="s">
        <v>498</v>
      </c>
      <c r="AG36" s="63" t="str">
        <f t="shared" si="59"/>
        <v>CUMPLIO</v>
      </c>
      <c r="AH36" s="64">
        <f t="shared" si="60"/>
        <v>0</v>
      </c>
      <c r="AI36" s="47" t="s">
        <v>480</v>
      </c>
      <c r="AJ36" s="55" t="s">
        <v>549</v>
      </c>
      <c r="AK36" s="48">
        <v>42977</v>
      </c>
      <c r="AL36" s="99" t="s">
        <v>587</v>
      </c>
      <c r="AM36" s="49" t="s">
        <v>489</v>
      </c>
      <c r="AN36" s="49" t="s">
        <v>490</v>
      </c>
      <c r="AO36" s="65" t="s">
        <v>414</v>
      </c>
      <c r="AP36" s="65" t="s">
        <v>491</v>
      </c>
      <c r="AQ36" s="61">
        <v>10000000</v>
      </c>
      <c r="AR36" s="60">
        <v>0</v>
      </c>
      <c r="AS36" s="59">
        <f t="shared" si="61"/>
        <v>10000000</v>
      </c>
      <c r="AT36" s="61">
        <v>10000000</v>
      </c>
      <c r="AU36" s="58">
        <v>0</v>
      </c>
      <c r="AV36" s="66">
        <v>43342</v>
      </c>
      <c r="AW36" s="66">
        <v>43373</v>
      </c>
      <c r="AX36" s="54" t="s">
        <v>253</v>
      </c>
      <c r="AY36" s="61">
        <f>10000000</f>
        <v>10000000</v>
      </c>
      <c r="AZ36" s="68">
        <f t="shared" si="62"/>
        <v>0</v>
      </c>
      <c r="BA36" s="54" t="s">
        <v>178</v>
      </c>
      <c r="BB36" s="137">
        <v>1</v>
      </c>
      <c r="BC36" s="137">
        <v>1</v>
      </c>
    </row>
    <row r="37" spans="1:55" s="69" customFormat="1" ht="71.25" x14ac:dyDescent="0.25">
      <c r="A37" s="53">
        <f t="shared" si="5"/>
        <v>36</v>
      </c>
      <c r="B37" s="54" t="s">
        <v>6</v>
      </c>
      <c r="C37" s="53">
        <f>IFERROR(VLOOKUP(B37,UNIDADES!$A:$F,2,FALSE)," ")</f>
        <v>21</v>
      </c>
      <c r="D37" s="53" t="str">
        <f>IFERROR(VLOOKUP(B37,UNIDADES!$A:$F,4,FALSE)," ")</f>
        <v>REGIÓN 7</v>
      </c>
      <c r="E37" s="53" t="str">
        <f>IFERROR(VLOOKUP(B37,UNIDADES!$A:$F,5,FALSE)," ")</f>
        <v>DEPARTAMENTO DE POLICÍA CASANARE</v>
      </c>
      <c r="F37" s="53" t="str">
        <f>IFERROR(VLOOKUP(B37,UNIDADES!$A:$F,6,FALSE)," ")</f>
        <v>844000016-1</v>
      </c>
      <c r="G37" s="55" t="s">
        <v>387</v>
      </c>
      <c r="H37" s="55">
        <v>3107749147</v>
      </c>
      <c r="I37" s="56" t="s">
        <v>388</v>
      </c>
      <c r="J37" s="56" t="s">
        <v>389</v>
      </c>
      <c r="K37" s="57" t="s">
        <v>392</v>
      </c>
      <c r="L37" s="57" t="s">
        <v>464</v>
      </c>
      <c r="M37" s="96" t="s">
        <v>588</v>
      </c>
      <c r="N37" s="58">
        <v>0</v>
      </c>
      <c r="O37" s="58">
        <v>25000000</v>
      </c>
      <c r="P37" s="58">
        <v>0</v>
      </c>
      <c r="Q37" s="59">
        <f t="shared" si="57"/>
        <v>25000000</v>
      </c>
      <c r="R37" s="59">
        <f>+N37+Q37</f>
        <v>25000000</v>
      </c>
      <c r="S37" s="58">
        <v>0</v>
      </c>
      <c r="T37" s="59">
        <f t="shared" si="58"/>
        <v>25000000</v>
      </c>
      <c r="U37" s="60">
        <v>0</v>
      </c>
      <c r="V37" s="70">
        <v>43337</v>
      </c>
      <c r="W37" s="70">
        <v>43339</v>
      </c>
      <c r="X37" s="58">
        <v>25000000</v>
      </c>
      <c r="Y37" s="57" t="s">
        <v>469</v>
      </c>
      <c r="Z37" s="62" t="s">
        <v>273</v>
      </c>
      <c r="AA37" s="49" t="s">
        <v>470</v>
      </c>
      <c r="AB37" s="55" t="s">
        <v>584</v>
      </c>
      <c r="AC37" s="71">
        <v>43337</v>
      </c>
      <c r="AD37" s="71">
        <v>43339</v>
      </c>
      <c r="AE37" s="71">
        <v>43343</v>
      </c>
      <c r="AF37" s="55" t="s">
        <v>498</v>
      </c>
      <c r="AG37" s="63" t="str">
        <f t="shared" si="59"/>
        <v>CUMPLIO</v>
      </c>
      <c r="AH37" s="64">
        <f t="shared" si="60"/>
        <v>0</v>
      </c>
      <c r="AI37" s="47" t="s">
        <v>476</v>
      </c>
      <c r="AJ37" s="55" t="s">
        <v>520</v>
      </c>
      <c r="AK37" s="48">
        <v>42971</v>
      </c>
      <c r="AL37" s="99" t="s">
        <v>589</v>
      </c>
      <c r="AM37" s="49" t="s">
        <v>482</v>
      </c>
      <c r="AN37" s="70" t="s">
        <v>597</v>
      </c>
      <c r="AO37" s="65" t="s">
        <v>414</v>
      </c>
      <c r="AP37" s="65" t="s">
        <v>484</v>
      </c>
      <c r="AQ37" s="61">
        <v>25000000</v>
      </c>
      <c r="AR37" s="60">
        <v>0</v>
      </c>
      <c r="AS37" s="59">
        <f>+AQ37+AR37</f>
        <v>25000000</v>
      </c>
      <c r="AT37" s="61">
        <v>25000000</v>
      </c>
      <c r="AU37" s="58">
        <v>0</v>
      </c>
      <c r="AV37" s="66">
        <v>43342</v>
      </c>
      <c r="AW37" s="66">
        <v>43373</v>
      </c>
      <c r="AX37" s="54" t="s">
        <v>253</v>
      </c>
      <c r="AY37" s="67">
        <f>25000000</f>
        <v>25000000</v>
      </c>
      <c r="AZ37" s="68">
        <f t="shared" si="62"/>
        <v>0</v>
      </c>
      <c r="BA37" s="54" t="s">
        <v>178</v>
      </c>
      <c r="BB37" s="137">
        <v>1</v>
      </c>
      <c r="BC37" s="137">
        <v>1</v>
      </c>
    </row>
    <row r="38" spans="1:55" s="69" customFormat="1" ht="121.5" customHeight="1" x14ac:dyDescent="0.25">
      <c r="A38" s="53">
        <f t="shared" si="5"/>
        <v>37</v>
      </c>
      <c r="B38" s="54" t="s">
        <v>6</v>
      </c>
      <c r="C38" s="53">
        <f>IFERROR(VLOOKUP(B38,UNIDADES!$A:$F,2,FALSE)," ")</f>
        <v>21</v>
      </c>
      <c r="D38" s="53" t="str">
        <f>IFERROR(VLOOKUP(B38,UNIDADES!$A:$F,4,FALSE)," ")</f>
        <v>REGIÓN 7</v>
      </c>
      <c r="E38" s="53" t="str">
        <f>IFERROR(VLOOKUP(B38,UNIDADES!$A:$F,5,FALSE)," ")</f>
        <v>DEPARTAMENTO DE POLICÍA CASANARE</v>
      </c>
      <c r="F38" s="53" t="str">
        <f>IFERROR(VLOOKUP(B38,UNIDADES!$A:$F,6,FALSE)," ")</f>
        <v>844000016-1</v>
      </c>
      <c r="G38" s="55" t="s">
        <v>387</v>
      </c>
      <c r="H38" s="55">
        <v>3107749147</v>
      </c>
      <c r="I38" s="56" t="s">
        <v>388</v>
      </c>
      <c r="J38" s="56" t="s">
        <v>389</v>
      </c>
      <c r="K38" s="57" t="s">
        <v>392</v>
      </c>
      <c r="L38" s="57" t="s">
        <v>464</v>
      </c>
      <c r="M38" s="99" t="s">
        <v>590</v>
      </c>
      <c r="N38" s="58">
        <v>0</v>
      </c>
      <c r="O38" s="58">
        <v>1500000</v>
      </c>
      <c r="P38" s="58"/>
      <c r="Q38" s="59">
        <f t="shared" si="57"/>
        <v>1500000</v>
      </c>
      <c r="R38" s="59">
        <v>1500000</v>
      </c>
      <c r="S38" s="58">
        <v>0</v>
      </c>
      <c r="T38" s="59">
        <f>+R38+S38</f>
        <v>1500000</v>
      </c>
      <c r="U38" s="60">
        <v>0</v>
      </c>
      <c r="V38" s="70">
        <v>43336</v>
      </c>
      <c r="W38" s="70">
        <v>43339</v>
      </c>
      <c r="X38" s="61">
        <v>1500000</v>
      </c>
      <c r="Y38" s="55" t="s">
        <v>469</v>
      </c>
      <c r="Z38" s="62" t="s">
        <v>273</v>
      </c>
      <c r="AA38" s="49" t="s">
        <v>471</v>
      </c>
      <c r="AB38" s="55" t="s">
        <v>584</v>
      </c>
      <c r="AC38" s="70">
        <v>43336</v>
      </c>
      <c r="AD38" s="70">
        <v>43339</v>
      </c>
      <c r="AE38" s="70">
        <v>43343</v>
      </c>
      <c r="AF38" s="55" t="s">
        <v>584</v>
      </c>
      <c r="AG38" s="63" t="str">
        <f t="shared" si="59"/>
        <v>CUMPLIO</v>
      </c>
      <c r="AH38" s="64">
        <f t="shared" si="60"/>
        <v>0</v>
      </c>
      <c r="AI38" s="47" t="s">
        <v>477</v>
      </c>
      <c r="AJ38" s="55" t="s">
        <v>548</v>
      </c>
      <c r="AK38" s="48">
        <v>42976</v>
      </c>
      <c r="AL38" s="99" t="s">
        <v>591</v>
      </c>
      <c r="AM38" s="49" t="s">
        <v>482</v>
      </c>
      <c r="AN38" s="70" t="s">
        <v>597</v>
      </c>
      <c r="AO38" s="65" t="s">
        <v>414</v>
      </c>
      <c r="AP38" s="65" t="s">
        <v>484</v>
      </c>
      <c r="AQ38" s="61">
        <v>1500000</v>
      </c>
      <c r="AR38" s="60">
        <v>0</v>
      </c>
      <c r="AS38" s="59">
        <f t="shared" ref="AS38" si="63">+AQ38+AR38</f>
        <v>1500000</v>
      </c>
      <c r="AT38" s="61">
        <v>1500000</v>
      </c>
      <c r="AU38" s="58">
        <v>0</v>
      </c>
      <c r="AV38" s="66">
        <v>43342</v>
      </c>
      <c r="AW38" s="66">
        <v>43373</v>
      </c>
      <c r="AX38" s="54" t="s">
        <v>254</v>
      </c>
      <c r="AY38" s="67">
        <f>1500000</f>
        <v>1500000</v>
      </c>
      <c r="AZ38" s="68">
        <f t="shared" si="62"/>
        <v>0</v>
      </c>
      <c r="BA38" s="54" t="s">
        <v>178</v>
      </c>
      <c r="BB38" s="137">
        <v>1</v>
      </c>
      <c r="BC38" s="137">
        <v>1</v>
      </c>
    </row>
    <row r="39" spans="1:55" s="89" customFormat="1" ht="58.5" customHeight="1" x14ac:dyDescent="0.25">
      <c r="A39" s="53">
        <f t="shared" si="5"/>
        <v>38</v>
      </c>
      <c r="B39" s="54" t="s">
        <v>6</v>
      </c>
      <c r="C39" s="53">
        <f>IFERROR(VLOOKUP(B39,UNIDADES!$A:$F,2,FALSE)," ")</f>
        <v>21</v>
      </c>
      <c r="D39" s="53" t="str">
        <f>IFERROR(VLOOKUP(B39,UNIDADES!$A:$F,4,FALSE)," ")</f>
        <v>REGIÓN 7</v>
      </c>
      <c r="E39" s="53" t="str">
        <f>IFERROR(VLOOKUP(B39,UNIDADES!$A:$F,5,FALSE)," ")</f>
        <v>DEPARTAMENTO DE POLICÍA CASANARE</v>
      </c>
      <c r="F39" s="53" t="str">
        <f>IFERROR(VLOOKUP(B39,UNIDADES!$A:$F,6,FALSE)," ")</f>
        <v>844000016-1</v>
      </c>
      <c r="G39" s="55" t="s">
        <v>387</v>
      </c>
      <c r="H39" s="55">
        <v>3107749147</v>
      </c>
      <c r="I39" s="56" t="s">
        <v>388</v>
      </c>
      <c r="J39" s="56" t="s">
        <v>389</v>
      </c>
      <c r="K39" s="55" t="s">
        <v>392</v>
      </c>
      <c r="L39" s="55" t="s">
        <v>592</v>
      </c>
      <c r="M39" s="50" t="s">
        <v>593</v>
      </c>
      <c r="N39" s="55"/>
      <c r="O39" s="102">
        <v>12000000</v>
      </c>
      <c r="P39" s="58">
        <v>0</v>
      </c>
      <c r="Q39" s="59">
        <f t="shared" si="51"/>
        <v>12000000</v>
      </c>
      <c r="R39" s="59">
        <f t="shared" si="13"/>
        <v>12000000</v>
      </c>
      <c r="S39" s="58">
        <v>0</v>
      </c>
      <c r="T39" s="59">
        <f t="shared" si="11"/>
        <v>12000000</v>
      </c>
      <c r="U39" s="60">
        <v>42000000</v>
      </c>
      <c r="V39" s="70">
        <v>43378</v>
      </c>
      <c r="W39" s="70">
        <v>43382</v>
      </c>
      <c r="X39" s="60">
        <v>54000000</v>
      </c>
      <c r="Y39" s="70" t="s">
        <v>469</v>
      </c>
      <c r="Z39" s="51" t="s">
        <v>162</v>
      </c>
      <c r="AA39" s="70" t="s">
        <v>594</v>
      </c>
      <c r="AB39" s="70" t="s">
        <v>595</v>
      </c>
      <c r="AC39" s="139">
        <v>43378</v>
      </c>
      <c r="AD39" s="139">
        <v>43382</v>
      </c>
      <c r="AE39" s="70">
        <v>43403</v>
      </c>
      <c r="AF39" s="57" t="s">
        <v>595</v>
      </c>
      <c r="AG39" s="63" t="str">
        <f t="shared" si="59"/>
        <v>CUMPLIO</v>
      </c>
      <c r="AH39" s="64"/>
      <c r="AI39" s="87" t="s">
        <v>596</v>
      </c>
      <c r="AJ39" s="70" t="s">
        <v>463</v>
      </c>
      <c r="AK39" s="70">
        <v>43395</v>
      </c>
      <c r="AL39" s="50" t="s">
        <v>593</v>
      </c>
      <c r="AM39" s="70" t="s">
        <v>482</v>
      </c>
      <c r="AN39" s="70" t="s">
        <v>597</v>
      </c>
      <c r="AO39" s="65" t="s">
        <v>414</v>
      </c>
      <c r="AP39" s="65" t="s">
        <v>484</v>
      </c>
      <c r="AQ39" s="60">
        <v>54000000</v>
      </c>
      <c r="AR39" s="60">
        <v>0</v>
      </c>
      <c r="AS39" s="59">
        <f t="shared" si="52"/>
        <v>54000000</v>
      </c>
      <c r="AT39" s="60">
        <v>54000000</v>
      </c>
      <c r="AU39" s="58">
        <v>0</v>
      </c>
      <c r="AV39" s="71">
        <v>43405</v>
      </c>
      <c r="AW39" s="71">
        <v>43677</v>
      </c>
      <c r="AX39" s="54" t="s">
        <v>253</v>
      </c>
      <c r="AY39" s="60">
        <f>54000000</f>
        <v>54000000</v>
      </c>
      <c r="AZ39" s="68">
        <f t="shared" si="62"/>
        <v>0</v>
      </c>
      <c r="BA39" s="54" t="s">
        <v>178</v>
      </c>
      <c r="BB39" s="137">
        <v>1</v>
      </c>
      <c r="BC39" s="137">
        <v>1</v>
      </c>
    </row>
    <row r="40" spans="1:55" s="89" customFormat="1" ht="57" x14ac:dyDescent="0.25">
      <c r="A40" s="53">
        <f t="shared" si="5"/>
        <v>39</v>
      </c>
      <c r="B40" s="54" t="s">
        <v>6</v>
      </c>
      <c r="C40" s="53">
        <f>IFERROR(VLOOKUP(B40,UNIDADES!$A:$F,2,FALSE)," ")</f>
        <v>21</v>
      </c>
      <c r="D40" s="53" t="str">
        <f>IFERROR(VLOOKUP(B40,UNIDADES!$A:$F,4,FALSE)," ")</f>
        <v>REGIÓN 7</v>
      </c>
      <c r="E40" s="53" t="str">
        <f>IFERROR(VLOOKUP(B40,UNIDADES!$A:$F,5,FALSE)," ")</f>
        <v>DEPARTAMENTO DE POLICÍA CASANARE</v>
      </c>
      <c r="F40" s="53" t="str">
        <f>IFERROR(VLOOKUP(B40,UNIDADES!$A:$F,6,FALSE)," ")</f>
        <v>844000016-1</v>
      </c>
      <c r="G40" s="55" t="s">
        <v>387</v>
      </c>
      <c r="H40" s="55">
        <v>3107749147</v>
      </c>
      <c r="I40" s="56" t="s">
        <v>388</v>
      </c>
      <c r="J40" s="56" t="s">
        <v>389</v>
      </c>
      <c r="K40" s="55" t="s">
        <v>392</v>
      </c>
      <c r="L40" s="55" t="s">
        <v>592</v>
      </c>
      <c r="M40" s="103" t="s">
        <v>598</v>
      </c>
      <c r="N40" s="55"/>
      <c r="O40" s="91">
        <f>126000000</f>
        <v>126000000</v>
      </c>
      <c r="P40" s="58">
        <v>0</v>
      </c>
      <c r="Q40" s="59">
        <f t="shared" si="51"/>
        <v>126000000</v>
      </c>
      <c r="R40" s="59">
        <f t="shared" si="13"/>
        <v>126000000</v>
      </c>
      <c r="S40" s="58">
        <v>0</v>
      </c>
      <c r="T40" s="59">
        <f t="shared" si="11"/>
        <v>126000000</v>
      </c>
      <c r="U40" s="91">
        <v>532700000</v>
      </c>
      <c r="V40" s="76">
        <v>43401</v>
      </c>
      <c r="W40" s="76">
        <v>43403</v>
      </c>
      <c r="X40" s="60">
        <v>658700000</v>
      </c>
      <c r="Y40" s="70" t="s">
        <v>469</v>
      </c>
      <c r="Z40" s="51" t="s">
        <v>500</v>
      </c>
      <c r="AA40" s="93" t="s">
        <v>599</v>
      </c>
      <c r="AB40" s="76" t="s">
        <v>595</v>
      </c>
      <c r="AC40" s="76">
        <v>43401</v>
      </c>
      <c r="AD40" s="76">
        <v>43403</v>
      </c>
      <c r="AE40" s="76">
        <v>43434</v>
      </c>
      <c r="AF40" s="49" t="s">
        <v>600</v>
      </c>
      <c r="AG40" s="63" t="str">
        <f t="shared" si="59"/>
        <v>CUMPLIO</v>
      </c>
      <c r="AH40" s="64"/>
      <c r="AI40" s="136" t="s">
        <v>636</v>
      </c>
      <c r="AJ40" s="70" t="s">
        <v>463</v>
      </c>
      <c r="AK40" s="104">
        <v>43406</v>
      </c>
      <c r="AL40" s="105" t="s">
        <v>598</v>
      </c>
      <c r="AM40" s="93" t="s">
        <v>482</v>
      </c>
      <c r="AN40" s="76" t="s">
        <v>597</v>
      </c>
      <c r="AO40" s="65" t="s">
        <v>414</v>
      </c>
      <c r="AP40" s="65" t="s">
        <v>484</v>
      </c>
      <c r="AQ40" s="60">
        <v>658700000</v>
      </c>
      <c r="AR40" s="60">
        <v>0</v>
      </c>
      <c r="AS40" s="59">
        <f t="shared" si="52"/>
        <v>658700000</v>
      </c>
      <c r="AT40" s="60">
        <v>658700000</v>
      </c>
      <c r="AU40" s="58">
        <v>0</v>
      </c>
      <c r="AV40" s="104">
        <v>43407</v>
      </c>
      <c r="AW40" s="104">
        <v>43677</v>
      </c>
      <c r="AX40" s="54" t="s">
        <v>253</v>
      </c>
      <c r="AY40" s="60">
        <f>126000000+532700000</f>
        <v>658700000</v>
      </c>
      <c r="AZ40" s="68">
        <f>+AS40-AY40</f>
        <v>0</v>
      </c>
      <c r="BA40" s="54" t="s">
        <v>178</v>
      </c>
      <c r="BB40" s="137">
        <v>1</v>
      </c>
      <c r="BC40" s="137">
        <v>1</v>
      </c>
    </row>
    <row r="41" spans="1:55" s="89" customFormat="1" ht="85.5" customHeight="1" x14ac:dyDescent="0.25">
      <c r="A41" s="53">
        <f t="shared" si="5"/>
        <v>40</v>
      </c>
      <c r="B41" s="54" t="s">
        <v>6</v>
      </c>
      <c r="C41" s="53">
        <f>IFERROR(VLOOKUP(B41,UNIDADES!$A:$F,2,FALSE)," ")</f>
        <v>21</v>
      </c>
      <c r="D41" s="53" t="str">
        <f>IFERROR(VLOOKUP(B41,UNIDADES!$A:$F,4,FALSE)," ")</f>
        <v>REGIÓN 7</v>
      </c>
      <c r="E41" s="53" t="str">
        <f>IFERROR(VLOOKUP(B41,UNIDADES!$A:$F,5,FALSE)," ")</f>
        <v>DEPARTAMENTO DE POLICÍA CASANARE</v>
      </c>
      <c r="F41" s="53" t="str">
        <f>IFERROR(VLOOKUP(B41,UNIDADES!$A:$F,6,FALSE)," ")</f>
        <v>844000016-1</v>
      </c>
      <c r="G41" s="55" t="s">
        <v>387</v>
      </c>
      <c r="H41" s="55">
        <v>3107749147</v>
      </c>
      <c r="I41" s="56" t="s">
        <v>388</v>
      </c>
      <c r="J41" s="56" t="s">
        <v>389</v>
      </c>
      <c r="K41" s="55" t="s">
        <v>392</v>
      </c>
      <c r="L41" s="55" t="s">
        <v>522</v>
      </c>
      <c r="M41" s="98" t="s">
        <v>601</v>
      </c>
      <c r="N41" s="55"/>
      <c r="O41" s="91">
        <v>21329782.66</v>
      </c>
      <c r="P41" s="58">
        <v>0</v>
      </c>
      <c r="Q41" s="59">
        <f t="shared" si="51"/>
        <v>21329782.66</v>
      </c>
      <c r="R41" s="59">
        <f t="shared" si="13"/>
        <v>21329782.66</v>
      </c>
      <c r="S41" s="58">
        <v>0</v>
      </c>
      <c r="T41" s="59">
        <f t="shared" si="11"/>
        <v>21329782.66</v>
      </c>
      <c r="U41" s="91">
        <v>35437079.329999998</v>
      </c>
      <c r="V41" s="76">
        <v>43401</v>
      </c>
      <c r="W41" s="76">
        <v>43403</v>
      </c>
      <c r="X41" s="60">
        <v>56766861.990000002</v>
      </c>
      <c r="Y41" s="70" t="s">
        <v>557</v>
      </c>
      <c r="Z41" s="51" t="s">
        <v>161</v>
      </c>
      <c r="AA41" s="92" t="s">
        <v>605</v>
      </c>
      <c r="AB41" s="76" t="s">
        <v>595</v>
      </c>
      <c r="AC41" s="76">
        <v>43401</v>
      </c>
      <c r="AD41" s="76">
        <v>43403</v>
      </c>
      <c r="AE41" s="76">
        <v>43434</v>
      </c>
      <c r="AF41" s="49" t="s">
        <v>600</v>
      </c>
      <c r="AG41" s="63" t="str">
        <f t="shared" si="59"/>
        <v>CUMPLIO</v>
      </c>
      <c r="AH41" s="64"/>
      <c r="AI41" s="94" t="s">
        <v>602</v>
      </c>
      <c r="AJ41" s="70" t="s">
        <v>463</v>
      </c>
      <c r="AK41" s="104">
        <v>43406</v>
      </c>
      <c r="AL41" s="105" t="s">
        <v>601</v>
      </c>
      <c r="AM41" s="93" t="s">
        <v>527</v>
      </c>
      <c r="AN41" s="106" t="s">
        <v>603</v>
      </c>
      <c r="AO41" s="65" t="s">
        <v>414</v>
      </c>
      <c r="AP41" s="91" t="s">
        <v>604</v>
      </c>
      <c r="AQ41" s="60">
        <v>56766861.990000002</v>
      </c>
      <c r="AR41" s="60">
        <v>0</v>
      </c>
      <c r="AS41" s="59">
        <f t="shared" si="52"/>
        <v>56766861.990000002</v>
      </c>
      <c r="AT41" s="60">
        <v>56766861.990000002</v>
      </c>
      <c r="AU41" s="58">
        <v>0</v>
      </c>
      <c r="AV41" s="104">
        <v>43417</v>
      </c>
      <c r="AW41" s="104">
        <v>43676</v>
      </c>
      <c r="AX41" s="54" t="s">
        <v>253</v>
      </c>
      <c r="AY41" s="91">
        <f>21329782.66+35437079.33</f>
        <v>56766861.989999995</v>
      </c>
      <c r="AZ41" s="68">
        <f t="shared" si="62"/>
        <v>0</v>
      </c>
      <c r="BA41" s="54" t="s">
        <v>178</v>
      </c>
      <c r="BB41" s="137">
        <v>1</v>
      </c>
      <c r="BC41" s="137">
        <v>1</v>
      </c>
    </row>
    <row r="42" spans="1:55" s="89" customFormat="1" ht="95.25" customHeight="1" x14ac:dyDescent="0.25">
      <c r="A42" s="53">
        <f t="shared" si="5"/>
        <v>41</v>
      </c>
      <c r="B42" s="54" t="s">
        <v>6</v>
      </c>
      <c r="C42" s="53">
        <f>IFERROR(VLOOKUP(B42,UNIDADES!$A:$F,2,FALSE)," ")</f>
        <v>21</v>
      </c>
      <c r="D42" s="53" t="str">
        <f>IFERROR(VLOOKUP(B42,UNIDADES!$A:$F,4,FALSE)," ")</f>
        <v>REGIÓN 7</v>
      </c>
      <c r="E42" s="53" t="str">
        <f>IFERROR(VLOOKUP(B42,UNIDADES!$A:$F,5,FALSE)," ")</f>
        <v>DEPARTAMENTO DE POLICÍA CASANARE</v>
      </c>
      <c r="F42" s="53" t="str">
        <f>IFERROR(VLOOKUP(B42,UNIDADES!$A:$F,6,FALSE)," ")</f>
        <v>844000016-1</v>
      </c>
      <c r="G42" s="55" t="s">
        <v>387</v>
      </c>
      <c r="H42" s="55">
        <v>3107749147</v>
      </c>
      <c r="I42" s="56" t="s">
        <v>388</v>
      </c>
      <c r="J42" s="56" t="s">
        <v>389</v>
      </c>
      <c r="K42" s="55" t="s">
        <v>392</v>
      </c>
      <c r="L42" s="55" t="s">
        <v>464</v>
      </c>
      <c r="M42" s="98" t="s">
        <v>609</v>
      </c>
      <c r="N42" s="55"/>
      <c r="O42" s="91">
        <v>97000000</v>
      </c>
      <c r="P42" s="58">
        <v>0</v>
      </c>
      <c r="Q42" s="59">
        <f t="shared" si="51"/>
        <v>97000000</v>
      </c>
      <c r="R42" s="59">
        <f t="shared" si="13"/>
        <v>97000000</v>
      </c>
      <c r="S42" s="58">
        <v>0</v>
      </c>
      <c r="T42" s="59">
        <f t="shared" si="11"/>
        <v>97000000</v>
      </c>
      <c r="U42" s="91">
        <v>210000000</v>
      </c>
      <c r="V42" s="76">
        <v>43392</v>
      </c>
      <c r="W42" s="76">
        <v>43394</v>
      </c>
      <c r="X42" s="60">
        <v>307900000</v>
      </c>
      <c r="Y42" s="70" t="s">
        <v>469</v>
      </c>
      <c r="Z42" s="51" t="s">
        <v>125</v>
      </c>
      <c r="AA42" s="92" t="s">
        <v>606</v>
      </c>
      <c r="AB42" s="76" t="s">
        <v>595</v>
      </c>
      <c r="AC42" s="76">
        <v>43392</v>
      </c>
      <c r="AD42" s="76">
        <v>43394</v>
      </c>
      <c r="AE42" s="76">
        <v>43434</v>
      </c>
      <c r="AF42" s="49" t="s">
        <v>600</v>
      </c>
      <c r="AG42" s="63" t="str">
        <f t="shared" si="59"/>
        <v>CUMPLIO</v>
      </c>
      <c r="AH42" s="64"/>
      <c r="AI42" s="94" t="s">
        <v>607</v>
      </c>
      <c r="AJ42" s="70" t="s">
        <v>463</v>
      </c>
      <c r="AK42" s="104">
        <v>43423</v>
      </c>
      <c r="AL42" s="105" t="s">
        <v>609</v>
      </c>
      <c r="AM42" s="93" t="s">
        <v>489</v>
      </c>
      <c r="AN42" s="106" t="s">
        <v>608</v>
      </c>
      <c r="AO42" s="65" t="s">
        <v>414</v>
      </c>
      <c r="AP42" s="91" t="s">
        <v>614</v>
      </c>
      <c r="AQ42" s="60">
        <v>307900000</v>
      </c>
      <c r="AR42" s="60">
        <v>0</v>
      </c>
      <c r="AS42" s="59">
        <f t="shared" si="52"/>
        <v>307900000</v>
      </c>
      <c r="AT42" s="60">
        <v>307900000</v>
      </c>
      <c r="AU42" s="58">
        <v>0</v>
      </c>
      <c r="AV42" s="104">
        <v>43426</v>
      </c>
      <c r="AW42" s="104">
        <v>43677</v>
      </c>
      <c r="AX42" s="54" t="s">
        <v>253</v>
      </c>
      <c r="AY42" s="91">
        <f>97000000+210900000</f>
        <v>307900000</v>
      </c>
      <c r="AZ42" s="68">
        <f t="shared" si="62"/>
        <v>0</v>
      </c>
      <c r="BA42" s="54" t="s">
        <v>178</v>
      </c>
      <c r="BB42" s="137">
        <v>1</v>
      </c>
      <c r="BC42" s="137">
        <v>1</v>
      </c>
    </row>
    <row r="43" spans="1:55" s="89" customFormat="1" ht="95.25" customHeight="1" x14ac:dyDescent="0.25">
      <c r="A43" s="53">
        <f t="shared" si="5"/>
        <v>42</v>
      </c>
      <c r="B43" s="54" t="s">
        <v>6</v>
      </c>
      <c r="C43" s="53">
        <f>IFERROR(VLOOKUP(B43,UNIDADES!$A:$F,2,FALSE)," ")</f>
        <v>21</v>
      </c>
      <c r="D43" s="53" t="str">
        <f>IFERROR(VLOOKUP(B43,UNIDADES!$A:$F,4,FALSE)," ")</f>
        <v>REGIÓN 7</v>
      </c>
      <c r="E43" s="53" t="str">
        <f>IFERROR(VLOOKUP(B43,UNIDADES!$A:$F,5,FALSE)," ")</f>
        <v>DEPARTAMENTO DE POLICÍA CASANARE</v>
      </c>
      <c r="F43" s="53" t="str">
        <f>IFERROR(VLOOKUP(B43,UNIDADES!$A:$F,6,FALSE)," ")</f>
        <v>844000016-1</v>
      </c>
      <c r="G43" s="55" t="s">
        <v>387</v>
      </c>
      <c r="H43" s="55">
        <v>3107749147</v>
      </c>
      <c r="I43" s="56" t="s">
        <v>388</v>
      </c>
      <c r="J43" s="56" t="s">
        <v>389</v>
      </c>
      <c r="K43" s="55" t="s">
        <v>392</v>
      </c>
      <c r="L43" s="55" t="s">
        <v>464</v>
      </c>
      <c r="M43" s="98" t="s">
        <v>610</v>
      </c>
      <c r="N43" s="55"/>
      <c r="O43" s="91">
        <v>370000000</v>
      </c>
      <c r="P43" s="58">
        <v>0</v>
      </c>
      <c r="Q43" s="59">
        <f t="shared" ref="Q43" si="64">+O43+P43</f>
        <v>370000000</v>
      </c>
      <c r="R43" s="59">
        <f t="shared" ref="R43" si="65">+N43+Q43</f>
        <v>370000000</v>
      </c>
      <c r="S43" s="58">
        <v>0</v>
      </c>
      <c r="T43" s="59">
        <f t="shared" ref="T43" si="66">+R43+S43</f>
        <v>370000000</v>
      </c>
      <c r="U43" s="91">
        <v>700000000</v>
      </c>
      <c r="V43" s="76">
        <v>43392</v>
      </c>
      <c r="W43" s="76">
        <v>43394</v>
      </c>
      <c r="X43" s="60">
        <v>1070000000</v>
      </c>
      <c r="Y43" s="70" t="s">
        <v>469</v>
      </c>
      <c r="Z43" s="51" t="s">
        <v>125</v>
      </c>
      <c r="AA43" s="92" t="s">
        <v>606</v>
      </c>
      <c r="AB43" s="76" t="s">
        <v>595</v>
      </c>
      <c r="AC43" s="76">
        <v>43392</v>
      </c>
      <c r="AD43" s="76">
        <v>43394</v>
      </c>
      <c r="AE43" s="76">
        <v>43434</v>
      </c>
      <c r="AF43" s="49" t="s">
        <v>600</v>
      </c>
      <c r="AG43" s="63" t="str">
        <f t="shared" ref="AG43" si="67">IFERROR(IF(AK43&lt;=AE43,"CUMPLIO","NO CUMPLIO")," ")</f>
        <v>CUMPLIO</v>
      </c>
      <c r="AH43" s="64"/>
      <c r="AI43" s="94" t="s">
        <v>611</v>
      </c>
      <c r="AJ43" s="70" t="s">
        <v>463</v>
      </c>
      <c r="AK43" s="104">
        <v>43423</v>
      </c>
      <c r="AL43" s="105" t="s">
        <v>610</v>
      </c>
      <c r="AM43" s="93" t="s">
        <v>612</v>
      </c>
      <c r="AN43" s="106" t="s">
        <v>613</v>
      </c>
      <c r="AO43" s="65" t="s">
        <v>414</v>
      </c>
      <c r="AP43" s="90" t="s">
        <v>615</v>
      </c>
      <c r="AQ43" s="60">
        <v>1070000000</v>
      </c>
      <c r="AR43" s="60">
        <v>0</v>
      </c>
      <c r="AS43" s="59">
        <f t="shared" ref="AS43" si="68">+AQ43+AR43</f>
        <v>1070000000</v>
      </c>
      <c r="AT43" s="60">
        <v>1070000000</v>
      </c>
      <c r="AU43" s="58">
        <v>0</v>
      </c>
      <c r="AV43" s="104">
        <v>43427</v>
      </c>
      <c r="AW43" s="104">
        <v>43677</v>
      </c>
      <c r="AX43" s="54" t="s">
        <v>253</v>
      </c>
      <c r="AY43" s="91">
        <f>370000000+700000000</f>
        <v>1070000000</v>
      </c>
      <c r="AZ43" s="68">
        <f t="shared" ref="AZ43" si="69">+AS43-AY43</f>
        <v>0</v>
      </c>
      <c r="BA43" s="54" t="s">
        <v>178</v>
      </c>
      <c r="BB43" s="137">
        <v>1</v>
      </c>
      <c r="BC43" s="137">
        <v>1</v>
      </c>
    </row>
    <row r="44" spans="1:55" s="89" customFormat="1" ht="95.25" customHeight="1" x14ac:dyDescent="0.25">
      <c r="A44" s="53">
        <f t="shared" si="5"/>
        <v>43</v>
      </c>
      <c r="B44" s="54" t="s">
        <v>6</v>
      </c>
      <c r="C44" s="53">
        <f>IFERROR(VLOOKUP(B44,UNIDADES!$A:$F,2,FALSE)," ")</f>
        <v>21</v>
      </c>
      <c r="D44" s="53" t="str">
        <f>IFERROR(VLOOKUP(B44,UNIDADES!$A:$F,4,FALSE)," ")</f>
        <v>REGIÓN 7</v>
      </c>
      <c r="E44" s="53" t="str">
        <f>IFERROR(VLOOKUP(B44,UNIDADES!$A:$F,5,FALSE)," ")</f>
        <v>DEPARTAMENTO DE POLICÍA CASANARE</v>
      </c>
      <c r="F44" s="53" t="str">
        <f>IFERROR(VLOOKUP(B44,UNIDADES!$A:$F,6,FALSE)," ")</f>
        <v>844000016-1</v>
      </c>
      <c r="G44" s="55" t="s">
        <v>387</v>
      </c>
      <c r="H44" s="55">
        <v>3107749147</v>
      </c>
      <c r="I44" s="56" t="s">
        <v>388</v>
      </c>
      <c r="J44" s="56" t="s">
        <v>389</v>
      </c>
      <c r="K44" s="55" t="s">
        <v>392</v>
      </c>
      <c r="L44" s="55" t="s">
        <v>391</v>
      </c>
      <c r="M44" s="90" t="s">
        <v>616</v>
      </c>
      <c r="N44" s="55"/>
      <c r="O44" s="91">
        <v>5000000</v>
      </c>
      <c r="P44" s="58">
        <v>0</v>
      </c>
      <c r="Q44" s="59">
        <f t="shared" ref="Q44:Q45" si="70">+O44+P44</f>
        <v>5000000</v>
      </c>
      <c r="R44" s="59">
        <f t="shared" ref="R44:R45" si="71">+N44+Q44</f>
        <v>5000000</v>
      </c>
      <c r="S44" s="58">
        <v>0</v>
      </c>
      <c r="T44" s="59">
        <f t="shared" ref="T44:T45" si="72">+R44+S44</f>
        <v>5000000</v>
      </c>
      <c r="U44" s="91">
        <v>0</v>
      </c>
      <c r="V44" s="76">
        <v>43427</v>
      </c>
      <c r="W44" s="76" t="s">
        <v>618</v>
      </c>
      <c r="X44" s="60">
        <v>5000000</v>
      </c>
      <c r="Y44" s="70" t="s">
        <v>619</v>
      </c>
      <c r="Z44" s="51" t="s">
        <v>162</v>
      </c>
      <c r="AA44" s="110" t="s">
        <v>620</v>
      </c>
      <c r="AB44" s="76" t="s">
        <v>621</v>
      </c>
      <c r="AC44" s="76">
        <v>43427</v>
      </c>
      <c r="AD44" s="76">
        <v>43436</v>
      </c>
      <c r="AE44" s="76">
        <v>43465</v>
      </c>
      <c r="AF44" s="49" t="s">
        <v>622</v>
      </c>
      <c r="AG44" s="63" t="str">
        <f t="shared" ref="AG44:AG45" si="73">IFERROR(IF(AK44&lt;=AE44,"CUMPLIO","NO CUMPLIO")," ")</f>
        <v>CUMPLIO</v>
      </c>
      <c r="AH44" s="64"/>
      <c r="AI44" s="94" t="s">
        <v>623</v>
      </c>
      <c r="AJ44" s="70" t="s">
        <v>463</v>
      </c>
      <c r="AK44" s="104">
        <v>43440</v>
      </c>
      <c r="AL44" s="90" t="s">
        <v>616</v>
      </c>
      <c r="AM44" s="108" t="s">
        <v>513</v>
      </c>
      <c r="AN44" s="107" t="s">
        <v>422</v>
      </c>
      <c r="AO44" s="65" t="s">
        <v>414</v>
      </c>
      <c r="AP44" s="90" t="s">
        <v>617</v>
      </c>
      <c r="AQ44" s="60">
        <v>5000000</v>
      </c>
      <c r="AR44" s="60">
        <v>0</v>
      </c>
      <c r="AS44" s="59">
        <f t="shared" ref="AS44:AS45" si="74">+AQ44+AR44</f>
        <v>5000000</v>
      </c>
      <c r="AT44" s="60">
        <v>5000000</v>
      </c>
      <c r="AU44" s="58">
        <v>0</v>
      </c>
      <c r="AV44" s="109">
        <v>43445</v>
      </c>
      <c r="AW44" s="109">
        <v>43465</v>
      </c>
      <c r="AX44" s="54" t="s">
        <v>253</v>
      </c>
      <c r="AY44" s="60">
        <f>5000000</f>
        <v>5000000</v>
      </c>
      <c r="AZ44" s="68">
        <f t="shared" ref="AZ44:AZ45" si="75">+AS44-AY44</f>
        <v>0</v>
      </c>
      <c r="BA44" s="54" t="s">
        <v>178</v>
      </c>
      <c r="BB44" s="137">
        <v>1</v>
      </c>
      <c r="BC44" s="137">
        <v>1</v>
      </c>
    </row>
    <row r="45" spans="1:55" ht="129.75" customHeight="1" x14ac:dyDescent="0.25">
      <c r="A45" s="53">
        <f t="shared" si="5"/>
        <v>44</v>
      </c>
      <c r="B45" s="54" t="s">
        <v>6</v>
      </c>
      <c r="C45" s="111">
        <f>IFERROR(VLOOKUP(B45,[1]UNIDADES!$A:$F,2,FALSE)," ")</f>
        <v>21</v>
      </c>
      <c r="D45" s="111" t="str">
        <f>IFERROR(VLOOKUP(B45,[1]UNIDADES!$A:$F,4,FALSE)," ")</f>
        <v>REGIÓN 7</v>
      </c>
      <c r="E45" s="53" t="str">
        <f>IFERROR(VLOOKUP(B45,UNIDADES!$A:$F,5,FALSE)," ")</f>
        <v>DEPARTAMENTO DE POLICÍA CASANARE</v>
      </c>
      <c r="F45" s="111" t="str">
        <f>IFERROR(VLOOKUP(B45,[1]UNIDADES!$A:$F,6,FALSE)," ")</f>
        <v>844000016-1</v>
      </c>
      <c r="G45" s="112" t="s">
        <v>387</v>
      </c>
      <c r="H45" s="112">
        <v>3107749147</v>
      </c>
      <c r="I45" s="113" t="s">
        <v>388</v>
      </c>
      <c r="J45" s="113" t="s">
        <v>389</v>
      </c>
      <c r="K45" s="114" t="s">
        <v>392</v>
      </c>
      <c r="L45" s="55" t="s">
        <v>391</v>
      </c>
      <c r="M45" s="90" t="s">
        <v>630</v>
      </c>
      <c r="N45" s="115">
        <v>0</v>
      </c>
      <c r="O45" s="91">
        <v>12904548</v>
      </c>
      <c r="P45" s="91"/>
      <c r="Q45" s="116">
        <f t="shared" si="70"/>
        <v>12904548</v>
      </c>
      <c r="R45" s="117">
        <f t="shared" si="71"/>
        <v>12904548</v>
      </c>
      <c r="S45" s="118">
        <v>0</v>
      </c>
      <c r="T45" s="117">
        <f t="shared" si="72"/>
        <v>12904548</v>
      </c>
      <c r="U45" s="91">
        <v>0</v>
      </c>
      <c r="V45" s="119" t="s">
        <v>414</v>
      </c>
      <c r="W45" s="120" t="s">
        <v>414</v>
      </c>
      <c r="X45" s="121">
        <f>P45+U45</f>
        <v>0</v>
      </c>
      <c r="Y45" s="122" t="s">
        <v>631</v>
      </c>
      <c r="Z45" s="123" t="s">
        <v>162</v>
      </c>
      <c r="AA45" s="124" t="s">
        <v>632</v>
      </c>
      <c r="AB45" s="114" t="s">
        <v>633</v>
      </c>
      <c r="AC45" s="125">
        <v>43440</v>
      </c>
      <c r="AD45" s="126">
        <v>43440</v>
      </c>
      <c r="AE45" s="126">
        <v>43464</v>
      </c>
      <c r="AF45" s="114" t="s">
        <v>621</v>
      </c>
      <c r="AG45" s="127" t="str">
        <f t="shared" si="73"/>
        <v>CUMPLIO</v>
      </c>
      <c r="AH45" s="128">
        <f t="shared" ref="AH45" si="76">+X45-AS45</f>
        <v>-12888520</v>
      </c>
      <c r="AI45" s="129" t="s">
        <v>632</v>
      </c>
      <c r="AJ45" s="130" t="s">
        <v>414</v>
      </c>
      <c r="AK45" s="125">
        <v>43447</v>
      </c>
      <c r="AL45" s="90" t="s">
        <v>630</v>
      </c>
      <c r="AM45" s="108">
        <v>890900943</v>
      </c>
      <c r="AN45" s="131" t="s">
        <v>634</v>
      </c>
      <c r="AO45" s="130" t="s">
        <v>414</v>
      </c>
      <c r="AP45" s="131" t="s">
        <v>635</v>
      </c>
      <c r="AQ45" s="121">
        <v>12888520</v>
      </c>
      <c r="AR45" s="132">
        <v>0</v>
      </c>
      <c r="AS45" s="117">
        <f t="shared" si="74"/>
        <v>12888520</v>
      </c>
      <c r="AT45" s="121">
        <v>12888520</v>
      </c>
      <c r="AU45" s="118">
        <v>0</v>
      </c>
      <c r="AV45" s="133">
        <v>43440</v>
      </c>
      <c r="AW45" s="133">
        <v>43465</v>
      </c>
      <c r="AX45" s="123" t="s">
        <v>253</v>
      </c>
      <c r="AY45" s="134">
        <v>12888520</v>
      </c>
      <c r="AZ45" s="135">
        <f t="shared" si="75"/>
        <v>0</v>
      </c>
      <c r="BA45" s="54" t="s">
        <v>178</v>
      </c>
      <c r="BB45" s="137">
        <v>1</v>
      </c>
      <c r="BC45" s="137">
        <v>1</v>
      </c>
    </row>
    <row r="46" spans="1:55" s="89" customFormat="1" ht="95.25" customHeight="1" x14ac:dyDescent="0.25">
      <c r="A46" s="53">
        <f t="shared" si="5"/>
        <v>45</v>
      </c>
      <c r="B46" s="54" t="s">
        <v>6</v>
      </c>
      <c r="C46" s="53">
        <f>IFERROR(VLOOKUP(B46,UNIDADES!$A:$F,2,FALSE)," ")</f>
        <v>21</v>
      </c>
      <c r="D46" s="53" t="str">
        <f>IFERROR(VLOOKUP(B46,UNIDADES!$A:$F,4,FALSE)," ")</f>
        <v>REGIÓN 7</v>
      </c>
      <c r="E46" s="53" t="str">
        <f>IFERROR(VLOOKUP(B46,UNIDADES!$A:$F,5,FALSE)," ")</f>
        <v>DEPARTAMENTO DE POLICÍA CASANARE</v>
      </c>
      <c r="F46" s="53" t="str">
        <f>IFERROR(VLOOKUP(B46,UNIDADES!$A:$F,6,FALSE)," ")</f>
        <v>844000016-1</v>
      </c>
      <c r="G46" s="55" t="s">
        <v>387</v>
      </c>
      <c r="H46" s="55">
        <v>3107749147</v>
      </c>
      <c r="I46" s="56" t="s">
        <v>388</v>
      </c>
      <c r="J46" s="56" t="s">
        <v>389</v>
      </c>
      <c r="K46" s="55" t="s">
        <v>392</v>
      </c>
      <c r="L46" s="55" t="s">
        <v>391</v>
      </c>
      <c r="M46" s="90" t="s">
        <v>624</v>
      </c>
      <c r="N46" s="55"/>
      <c r="O46" s="91">
        <v>10000000</v>
      </c>
      <c r="P46" s="58">
        <v>0</v>
      </c>
      <c r="Q46" s="59">
        <f t="shared" ref="Q46" si="77">+O46+P46</f>
        <v>10000000</v>
      </c>
      <c r="R46" s="59">
        <f t="shared" ref="R46" si="78">+N46+Q46</f>
        <v>10000000</v>
      </c>
      <c r="S46" s="58">
        <v>0</v>
      </c>
      <c r="T46" s="59">
        <f t="shared" ref="T46" si="79">+R46+S46</f>
        <v>10000000</v>
      </c>
      <c r="U46" s="91">
        <v>0</v>
      </c>
      <c r="V46" s="76">
        <v>43440</v>
      </c>
      <c r="W46" s="76">
        <v>43446</v>
      </c>
      <c r="X46" s="60">
        <v>10000000</v>
      </c>
      <c r="Y46" s="70" t="s">
        <v>619</v>
      </c>
      <c r="Z46" s="51" t="s">
        <v>162</v>
      </c>
      <c r="AA46" s="110" t="s">
        <v>629</v>
      </c>
      <c r="AB46" s="76" t="s">
        <v>621</v>
      </c>
      <c r="AC46" s="76">
        <v>43440</v>
      </c>
      <c r="AD46" s="76">
        <v>43446</v>
      </c>
      <c r="AE46" s="76">
        <v>43465</v>
      </c>
      <c r="AF46" s="49" t="s">
        <v>622</v>
      </c>
      <c r="AG46" s="63" t="str">
        <f t="shared" ref="AG46" si="80">IFERROR(IF(AK46&lt;=AE46,"CUMPLIO","NO CUMPLIO")," ")</f>
        <v>CUMPLIO</v>
      </c>
      <c r="AH46" s="64"/>
      <c r="AI46" s="94" t="s">
        <v>628</v>
      </c>
      <c r="AJ46" s="70" t="s">
        <v>463</v>
      </c>
      <c r="AK46" s="104">
        <v>43451</v>
      </c>
      <c r="AL46" s="90" t="s">
        <v>624</v>
      </c>
      <c r="AM46" s="108" t="s">
        <v>627</v>
      </c>
      <c r="AN46" s="107" t="s">
        <v>626</v>
      </c>
      <c r="AO46" s="65" t="s">
        <v>414</v>
      </c>
      <c r="AP46" s="90" t="s">
        <v>625</v>
      </c>
      <c r="AQ46" s="60">
        <v>10000000</v>
      </c>
      <c r="AR46" s="60">
        <v>0</v>
      </c>
      <c r="AS46" s="59">
        <f t="shared" ref="AS46" si="81">+AQ46+AR46</f>
        <v>10000000</v>
      </c>
      <c r="AT46" s="60">
        <v>10000000</v>
      </c>
      <c r="AU46" s="58">
        <v>0</v>
      </c>
      <c r="AV46" s="109">
        <v>43455</v>
      </c>
      <c r="AW46" s="109">
        <v>43465</v>
      </c>
      <c r="AX46" s="54" t="s">
        <v>253</v>
      </c>
      <c r="AY46" s="60">
        <v>10000000</v>
      </c>
      <c r="AZ46" s="68">
        <f t="shared" ref="AZ46" si="82">+AS46-AY46</f>
        <v>0</v>
      </c>
      <c r="BA46" s="54" t="s">
        <v>178</v>
      </c>
      <c r="BB46" s="137">
        <v>1</v>
      </c>
      <c r="BC46" s="137">
        <v>1</v>
      </c>
    </row>
  </sheetData>
  <autoFilter ref="A1:BA46" xr:uid="{5B618D4E-D03C-4F02-B066-7E51D4189C90}"/>
  <hyperlinks>
    <hyperlink ref="I8" r:id="rId1" display="rocio.cubillos@correo.policia.gov.co" xr:uid="{00000000-0004-0000-0000-000000000000}"/>
    <hyperlink ref="J8" r:id="rId2" display="diraf.arcon-jefat@policia.gov.co" xr:uid="{00000000-0004-0000-0000-000001000000}"/>
    <hyperlink ref="I9:I18" r:id="rId3" display="rocio.cubillos@correo.policia.gov.co" xr:uid="{F92843AF-0BD9-462A-90CC-675ADF4A7A30}"/>
    <hyperlink ref="J9:J18" r:id="rId4" display="diraf.arcon-jefat@policia.gov.co" xr:uid="{0A1E098F-BC23-4CB2-B858-8FE699CA4F3A}"/>
    <hyperlink ref="I19:I21" r:id="rId5" display="rocio.cubillos@correo.policia.gov.co" xr:uid="{094054A0-896E-45D7-A5CC-E1ADC8E3995B}"/>
    <hyperlink ref="J19:J21" r:id="rId6" display="diraf.arcon-jefat@policia.gov.co" xr:uid="{C5AFB511-4621-4B75-B43B-B98CC054A666}"/>
    <hyperlink ref="I3" r:id="rId7" display="rocio.cubillos@correo.policia.gov.co" xr:uid="{8F8B33F1-F2E6-4CF3-92A7-A86C3D28237A}"/>
    <hyperlink ref="J3" r:id="rId8" display="diraf.arcon-jefat@policia.gov.co" xr:uid="{CAC6796F-11DF-4F90-AA37-EE4D51715B86}"/>
    <hyperlink ref="I7" r:id="rId9" display="rocio.cubillos@correo.policia.gov.co" xr:uid="{462F93B2-733C-41A4-B5CA-A025EEB884F0}"/>
    <hyperlink ref="J7" r:id="rId10" display="diraf.arcon-jefat@policia.gov.co" xr:uid="{59F5EB3B-0F5F-4528-B37B-DC4A26A7CFF4}"/>
    <hyperlink ref="I6" r:id="rId11" display="rocio.cubillos@correo.policia.gov.co" xr:uid="{DF4A7007-411A-4C2C-8AEE-38A3E63413B4}"/>
    <hyperlink ref="J6" r:id="rId12" display="diraf.arcon-jefat@policia.gov.co" xr:uid="{45C912A4-C29D-4232-BA35-7173CE1069CE}"/>
    <hyperlink ref="I5" r:id="rId13" display="rocio.cubillos@correo.policia.gov.co" xr:uid="{78C2BB3D-2024-4854-82CE-5CB38E125281}"/>
    <hyperlink ref="J5" r:id="rId14" display="diraf.arcon-jefat@policia.gov.co" xr:uid="{B406C110-85E9-4429-9537-AAEB44551129}"/>
    <hyperlink ref="I4" r:id="rId15" display="rocio.cubillos@correo.policia.gov.co" xr:uid="{A1DD333C-4D1D-46EA-918F-F62E3CBEA1EE}"/>
    <hyperlink ref="J4" r:id="rId16" display="diraf.arcon-jefat@policia.gov.co" xr:uid="{EFD9B89C-0BCF-4B21-A406-425AB3502EB3}"/>
    <hyperlink ref="I2" r:id="rId17" display="rocio.cubillos@correo.policia.gov.co" xr:uid="{E9D5BD23-D2CF-421C-9B81-FB90746900F9}"/>
    <hyperlink ref="J2" r:id="rId18" display="diraf.arcon-jefat@policia.gov.co" xr:uid="{1C62F24E-B327-45A6-8240-4EE4A1188006}"/>
    <hyperlink ref="I13" r:id="rId19" display="rocio.cubillos@correo.policia.gov.co" xr:uid="{6373D948-BBE9-4D51-9A20-F121EA3AA2F5}"/>
    <hyperlink ref="J13" r:id="rId20" display="diraf.arcon-jefat@policia.gov.co" xr:uid="{1F386AD6-9B2D-4459-81CA-AD7277266ABA}"/>
    <hyperlink ref="I30" r:id="rId21" display="rocio.cubillos@correo.policia.gov.co" xr:uid="{2454E020-A05C-49FC-9394-92BA8A0AF02B}"/>
    <hyperlink ref="I31:I39" r:id="rId22" display="rocio.cubillos@correo.policia.gov.co" xr:uid="{9BFBA759-28E8-4D5F-AD18-7A11C0176371}"/>
    <hyperlink ref="J30:J39" r:id="rId23" display="diraf.arcon-jefat@policia.gov.co" xr:uid="{5424AEEF-D934-456C-A19F-A11C71BCBA2A}"/>
    <hyperlink ref="I39" r:id="rId24" display="rocio.cubillos@correo.policia.gov.co" xr:uid="{F8152F04-BA17-4A40-A47D-A5435ED0C559}"/>
    <hyperlink ref="I21" r:id="rId25" display="rocio.cubillos@correo.policia.gov.co" xr:uid="{891E1D1B-43B5-4C0E-A35B-0CA712A90032}"/>
    <hyperlink ref="J21" r:id="rId26" display="diraf.arcon-jefat@policia.gov.co" xr:uid="{EB43C9C8-A29F-4331-970C-D4FBDBB75B36}"/>
    <hyperlink ref="I22" r:id="rId27" display="rocio.cubillos@correo.policia.gov.co" xr:uid="{D5D8D314-807D-4C27-ADB5-F7786D434471}"/>
    <hyperlink ref="J22" r:id="rId28" display="diraf.arcon-jefat@policia.gov.co" xr:uid="{58AB8609-1DFD-4AB0-A387-84CA61C9FC21}"/>
    <hyperlink ref="I23" r:id="rId29" display="rocio.cubillos@correo.policia.gov.co" xr:uid="{2BC1A0CE-CDF6-4E77-94A7-158AEE6D2264}"/>
    <hyperlink ref="J23" r:id="rId30" display="diraf.arcon-jefat@policia.gov.co" xr:uid="{76B7848A-4105-4FA5-B3C6-D816D81DDDE8}"/>
    <hyperlink ref="I14" r:id="rId31" display="rocio.cubillos@correo.policia.gov.co" xr:uid="{4B096EA3-3393-412A-9219-0D2427954C71}"/>
    <hyperlink ref="J14" r:id="rId32" display="diraf.arcon-jefat@policia.gov.co" xr:uid="{EFB2F68E-ABA4-4E4F-8907-32A02A2C741B}"/>
    <hyperlink ref="I20" r:id="rId33" display="rocio.cubillos@correo.policia.gov.co" xr:uid="{F5BD60A1-5F68-49C4-BBBF-7D568F93941B}"/>
    <hyperlink ref="J20" r:id="rId34" display="diraf.arcon-jefat@policia.gov.co" xr:uid="{D29D69C8-1AD7-4C0E-AEBC-290EAD1882A6}"/>
    <hyperlink ref="I24" r:id="rId35" display="rocio.cubillos@correo.policia.gov.co" xr:uid="{50A47273-001E-4D3E-B9CC-14094C42BA48}"/>
    <hyperlink ref="J24" r:id="rId36" display="diraf.arcon-jefat@policia.gov.co" xr:uid="{6E4E910B-5578-497A-84B4-459B01384FC0}"/>
    <hyperlink ref="I27" r:id="rId37" display="rocio.cubillos@correo.policia.gov.co" xr:uid="{1F563C90-BA54-4578-A47A-0800CB5B0F89}"/>
    <hyperlink ref="J27" r:id="rId38" display="diraf.arcon-jefat@policia.gov.co" xr:uid="{42686471-ED9D-46F0-A46C-9A683F65277C}"/>
    <hyperlink ref="I28" r:id="rId39" display="rocio.cubillos@correo.policia.gov.co" xr:uid="{49518DC5-FCE0-4099-B6A2-D5EB68E0098B}"/>
    <hyperlink ref="J28" r:id="rId40" display="diraf.arcon-jefat@policia.gov.co" xr:uid="{338CB043-B57C-4833-BFD8-F4F2366AB91A}"/>
    <hyperlink ref="I25" r:id="rId41" display="rocio.cubillos@correo.policia.gov.co" xr:uid="{6C04515B-F50E-4D87-9C5F-92ABE01B3D54}"/>
    <hyperlink ref="J25" r:id="rId42" display="diraf.arcon-jefat@policia.gov.co" xr:uid="{773F0949-E898-4A4F-9146-F452227B91E8}"/>
    <hyperlink ref="I26" r:id="rId43" display="rocio.cubillos@correo.policia.gov.co" xr:uid="{7B8706C2-AFC1-469B-BF29-637ED61F551B}"/>
    <hyperlink ref="J26" r:id="rId44" display="diraf.arcon-jefat@policia.gov.co" xr:uid="{C6CF21DE-A135-41EF-9863-8CE81C4920ED}"/>
    <hyperlink ref="I29" r:id="rId45" display="rocio.cubillos@correo.policia.gov.co" xr:uid="{1EAFAC00-1489-4A54-B915-800133CCD659}"/>
    <hyperlink ref="J29" r:id="rId46" display="diraf.arcon-jefat@policia.gov.co" xr:uid="{36B977DA-354B-493B-8396-B3DA1BF6BAA2}"/>
    <hyperlink ref="I33" r:id="rId47" display="rocio.cubillos@correo.policia.gov.co" xr:uid="{DD25C2B1-3EFC-4930-803D-7304950AD904}"/>
    <hyperlink ref="J33" r:id="rId48" display="diraf.arcon-jefat@policia.gov.co" xr:uid="{9D12CEA7-34EC-400B-B7D6-238151D6BDAC}"/>
    <hyperlink ref="I32" r:id="rId49" display="rocio.cubillos@correo.policia.gov.co" xr:uid="{AB563B6A-AC00-4B98-B92E-89E71EFE16C7}"/>
    <hyperlink ref="J32" r:id="rId50" display="diraf.arcon-jefat@policia.gov.co" xr:uid="{438B7A83-7E35-4CCC-98ED-407FA9E6CE44}"/>
    <hyperlink ref="I34" r:id="rId51" display="rocio.cubillos@correo.policia.gov.co" xr:uid="{3A1503D5-5E29-4B38-B621-42338EF1985A}"/>
    <hyperlink ref="J34" r:id="rId52" display="diraf.arcon-jefat@policia.gov.co" xr:uid="{109E3101-23D5-49CC-98E9-84C72AB3FED4}"/>
    <hyperlink ref="I35" r:id="rId53" display="rocio.cubillos@correo.policia.gov.co" xr:uid="{B8F78976-B126-4D0B-966C-8366ED6625F0}"/>
    <hyperlink ref="J35" r:id="rId54" display="diraf.arcon-jefat@policia.gov.co" xr:uid="{B6045215-BF9B-4617-A5D7-B82395E808EF}"/>
    <hyperlink ref="I36" r:id="rId55" display="rocio.cubillos@correo.policia.gov.co" xr:uid="{18A514DC-D695-428D-931A-746BDA92AA2A}"/>
    <hyperlink ref="J36" r:id="rId56" display="diraf.arcon-jefat@policia.gov.co" xr:uid="{93362299-54B1-4703-B2FD-0D1C8A7A7E33}"/>
    <hyperlink ref="I37" r:id="rId57" display="rocio.cubillos@correo.policia.gov.co" xr:uid="{B09DEA09-B92F-46CB-91C2-824A5FA001C2}"/>
    <hyperlink ref="J37" r:id="rId58" display="diraf.arcon-jefat@policia.gov.co" xr:uid="{FC5F9946-EA80-43D1-BFC2-B6F93A2AD2D8}"/>
    <hyperlink ref="I38" r:id="rId59" display="rocio.cubillos@correo.policia.gov.co" xr:uid="{8E131958-A22B-4F1D-9530-9B284E1B4139}"/>
    <hyperlink ref="J38" r:id="rId60" display="diraf.arcon-jefat@policia.gov.co" xr:uid="{03096AF2-08BF-462E-A621-5607C9FBC846}"/>
    <hyperlink ref="I43" r:id="rId61" display="rocio.cubillos@correo.policia.gov.co" xr:uid="{132CFE19-F399-47ED-B2AC-3AE05C650E24}"/>
    <hyperlink ref="J43" r:id="rId62" display="diraf.arcon-jefat@policia.gov.co" xr:uid="{9EA97B09-114D-418D-8A43-D37548783324}"/>
    <hyperlink ref="I40" r:id="rId63" display="rocio.cubillos@correo.policia.gov.co" xr:uid="{50309936-BE5D-46FB-8125-0AE0A9FC309E}"/>
    <hyperlink ref="J40" r:id="rId64" display="diraf.arcon-jefat@policia.gov.co" xr:uid="{2C97F676-B550-4639-9FB9-4776441F538C}"/>
    <hyperlink ref="I41" r:id="rId65" display="rocio.cubillos@correo.policia.gov.co" xr:uid="{E33035A7-BF68-4582-85F5-119AF0F947EB}"/>
    <hyperlink ref="J41" r:id="rId66" display="diraf.arcon-jefat@policia.gov.co" xr:uid="{CC57716C-850E-490C-9EA3-EFF8692812EF}"/>
    <hyperlink ref="I42" r:id="rId67" display="rocio.cubillos@correo.policia.gov.co" xr:uid="{2B78CFF8-F51F-496D-9BBE-26479092C3A1}"/>
    <hyperlink ref="J42" r:id="rId68" display="diraf.arcon-jefat@policia.gov.co" xr:uid="{72595DD3-FBD2-4C17-8D7A-47D28FB3BC6D}"/>
    <hyperlink ref="I44" r:id="rId69" display="rocio.cubillos@correo.policia.gov.co" xr:uid="{95DA15EE-1C97-49A7-8753-61C7BBAEF858}"/>
    <hyperlink ref="J44" r:id="rId70" display="diraf.arcon-jefat@policia.gov.co" xr:uid="{C7F0FACF-93C3-4792-AB9A-3827AEED366E}"/>
    <hyperlink ref="I46" r:id="rId71" display="rocio.cubillos@correo.policia.gov.co" xr:uid="{C86E7D51-A60F-4893-B658-1723259E491D}"/>
    <hyperlink ref="J46" r:id="rId72" display="diraf.arcon-jefat@policia.gov.co" xr:uid="{A0DFC2F8-4A5E-40D1-B9D6-248ECB0D50E2}"/>
  </hyperlinks>
  <pageMargins left="0.7" right="0.7" top="0.75" bottom="0.75" header="0.3" footer="0.3"/>
  <pageSetup orientation="portrait" r:id="rId73"/>
  <legacyDrawing r:id="rId7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CONVENCIONES!$A$4:$A$14</xm:f>
          </x14:formula1>
          <xm:sqref>BA2:BA46</xm:sqref>
        </x14:dataValidation>
        <x14:dataValidation type="list" allowBlank="1" showInputMessage="1" showErrorMessage="1" xr:uid="{00000000-0002-0000-0000-000001000000}">
          <x14:formula1>
            <xm:f>CONVENCIONES!$A$33:$A$35</xm:f>
          </x14:formula1>
          <xm:sqref>AX2:AX44 AX46</xm:sqref>
        </x14:dataValidation>
        <x14:dataValidation type="list" allowBlank="1" showInputMessage="1" showErrorMessage="1" xr:uid="{00000000-0002-0000-0000-000002000000}">
          <x14:formula1>
            <xm:f>CONVENCIONES!$A$20:$A$28</xm:f>
          </x14:formula1>
          <xm:sqref>Z2:Z44 Z46</xm:sqref>
        </x14:dataValidation>
        <x14:dataValidation type="list" allowBlank="1" showInputMessage="1" showErrorMessage="1" xr:uid="{00000000-0002-0000-0000-000003000000}">
          <x14:formula1>
            <xm:f>UNIDADES!$A$2:$A$1048576</xm:f>
          </x14:formula1>
          <xm:sqref>B2:B46</xm:sqref>
        </x14:dataValidation>
        <x14:dataValidation type="list" allowBlank="1" showInputMessage="1" showErrorMessage="1" xr:uid="{11ABC6B3-9173-46E0-A8B6-CDBD74745F5D}">
          <x14:formula1>
            <xm:f>'E:\DOCUMENTOS AÑO 2018\CUMPLIMIENTOS 2018\MATRIZ CONTRACTUAL GESTION Y SANIDAD\MATRIZ CONTRACTUAL\12.DICIEMBRE\SANIDAD\[ejecucion-contratos-arsan-decas-31122018.xlsx]CONVENCIONES'!#REF!</xm:f>
          </x14:formula1>
          <xm:sqref>Z45 AX45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A1:G133"/>
  <sheetViews>
    <sheetView view="pageBreakPreview" zoomScale="85" zoomScaleNormal="85" zoomScaleSheetLayoutView="85" workbookViewId="0">
      <selection activeCell="M93" sqref="M93"/>
    </sheetView>
  </sheetViews>
  <sheetFormatPr baseColWidth="10" defaultRowHeight="15" x14ac:dyDescent="0.25"/>
  <cols>
    <col min="1" max="1" width="28.7109375" style="2" customWidth="1"/>
    <col min="2" max="2" width="25.5703125" style="3" customWidth="1"/>
    <col min="3" max="3" width="32.140625" style="3" customWidth="1"/>
    <col min="4" max="4" width="34.85546875" style="2" customWidth="1"/>
    <col min="5" max="5" width="24.28515625" style="2" customWidth="1"/>
    <col min="6" max="6" width="27.140625" style="2" customWidth="1"/>
    <col min="7" max="7" width="18" style="2" customWidth="1"/>
    <col min="8" max="16384" width="11.42578125" style="2"/>
  </cols>
  <sheetData>
    <row r="1" spans="1:7" ht="26.25" x14ac:dyDescent="0.4">
      <c r="A1" s="141" t="s">
        <v>106</v>
      </c>
      <c r="B1" s="141"/>
      <c r="C1" s="141"/>
      <c r="D1" s="141"/>
      <c r="E1" s="141"/>
      <c r="F1" s="141"/>
      <c r="G1" s="141"/>
    </row>
    <row r="2" spans="1:7" ht="26.25" x14ac:dyDescent="0.4">
      <c r="A2" s="141" t="str">
        <f>+GENERAL!E8</f>
        <v>DEPARTAMENTO DE POLICÍA CASANARE</v>
      </c>
      <c r="B2" s="141"/>
      <c r="C2" s="141"/>
      <c r="D2" s="141"/>
      <c r="E2" s="141"/>
      <c r="F2" s="141"/>
      <c r="G2" s="141"/>
    </row>
    <row r="3" spans="1:7" ht="15" customHeight="1" x14ac:dyDescent="0.25"/>
    <row r="4" spans="1:7" ht="15" customHeight="1" x14ac:dyDescent="0.25">
      <c r="G4" s="4"/>
    </row>
    <row r="5" spans="1:7" ht="15" customHeight="1" x14ac:dyDescent="0.25">
      <c r="A5" s="142" t="s">
        <v>0</v>
      </c>
      <c r="B5" s="142"/>
      <c r="C5" s="143" t="str">
        <f>+GENERAL!B8</f>
        <v>DECAS</v>
      </c>
      <c r="D5" s="143"/>
      <c r="E5" s="143"/>
    </row>
    <row r="6" spans="1:7" ht="15" customHeight="1" x14ac:dyDescent="0.25">
      <c r="A6" s="142" t="s">
        <v>107</v>
      </c>
      <c r="B6" s="142"/>
      <c r="C6" s="143" t="str">
        <f>+GENERAL!E8</f>
        <v>DEPARTAMENTO DE POLICÍA CASANARE</v>
      </c>
      <c r="D6" s="143"/>
      <c r="E6" s="143"/>
    </row>
    <row r="7" spans="1:7" ht="15" customHeight="1" x14ac:dyDescent="0.25">
      <c r="A7" s="142" t="s">
        <v>108</v>
      </c>
      <c r="B7" s="142"/>
      <c r="C7" s="143" t="str">
        <f>+GENERAL!F8</f>
        <v>844000016-1</v>
      </c>
      <c r="D7" s="143"/>
      <c r="E7" s="143"/>
    </row>
    <row r="8" spans="1:7" ht="15" customHeight="1" x14ac:dyDescent="0.25">
      <c r="A8" s="142" t="s">
        <v>109</v>
      </c>
      <c r="B8" s="142"/>
      <c r="C8" s="143" t="str">
        <f>+GENERAL!G8</f>
        <v xml:space="preserve">TE. DIEGO ARMANDO BUITRAGO NUÑEZ </v>
      </c>
      <c r="D8" s="143"/>
      <c r="E8" s="143"/>
    </row>
    <row r="9" spans="1:7" ht="15" customHeight="1" x14ac:dyDescent="0.25">
      <c r="A9" s="142" t="s">
        <v>110</v>
      </c>
      <c r="B9" s="142"/>
      <c r="C9" s="143">
        <f>+GENERAL!H8</f>
        <v>3107749147</v>
      </c>
      <c r="D9" s="143"/>
      <c r="E9" s="143"/>
    </row>
    <row r="10" spans="1:7" ht="15" customHeight="1" x14ac:dyDescent="0.25">
      <c r="A10" s="142" t="s">
        <v>111</v>
      </c>
      <c r="B10" s="142"/>
      <c r="C10" s="144" t="str">
        <f>+GENERAL!I8</f>
        <v>diego.buitrago2768@correo.policia.gov.co</v>
      </c>
      <c r="D10" s="143"/>
      <c r="E10" s="143"/>
      <c r="G10" s="4"/>
    </row>
    <row r="12" spans="1:7" ht="14.25" customHeight="1" x14ac:dyDescent="0.25">
      <c r="A12" s="140" t="s">
        <v>148</v>
      </c>
      <c r="B12" s="140"/>
      <c r="C12" s="140"/>
      <c r="D12" s="140"/>
      <c r="E12" s="140"/>
      <c r="F12" s="140"/>
      <c r="G12" s="140"/>
    </row>
    <row r="16" spans="1:7" ht="30" x14ac:dyDescent="0.25">
      <c r="A16" s="5" t="s">
        <v>112</v>
      </c>
      <c r="B16" s="6" t="s">
        <v>113</v>
      </c>
      <c r="C16" s="6" t="s">
        <v>114</v>
      </c>
    </row>
    <row r="17" spans="1:7" ht="35.25" customHeight="1" x14ac:dyDescent="0.25">
      <c r="A17" s="7" t="str">
        <f>+C5</f>
        <v>DECAS</v>
      </c>
      <c r="B17" s="21">
        <f>SUM(GENERAL!$AS$8:$AS$1048576)</f>
        <v>3643511445.2399998</v>
      </c>
      <c r="C17" s="8">
        <f>SUM(GENERAL!T8:T1048576)</f>
        <v>2219894203.1900001</v>
      </c>
    </row>
    <row r="18" spans="1:7" x14ac:dyDescent="0.25">
      <c r="A18" s="9" t="s">
        <v>115</v>
      </c>
      <c r="B18" s="10">
        <f>SUM(B17:B17)</f>
        <v>3643511445.2399998</v>
      </c>
      <c r="C18" s="10">
        <f>SUM(C17:C17)</f>
        <v>2219894203.1900001</v>
      </c>
    </row>
    <row r="19" spans="1:7" ht="22.5" customHeight="1" x14ac:dyDescent="0.25">
      <c r="B19" s="2"/>
    </row>
    <row r="20" spans="1:7" ht="23.25" customHeight="1" x14ac:dyDescent="0.25">
      <c r="B20" s="6" t="s">
        <v>116</v>
      </c>
      <c r="C20" s="6" t="s">
        <v>117</v>
      </c>
    </row>
    <row r="21" spans="1:7" x14ac:dyDescent="0.25">
      <c r="B21" s="11">
        <f>+B18/C18</f>
        <v>1.6412995898652529</v>
      </c>
      <c r="C21" s="11">
        <f>100%-B18/C18</f>
        <v>-0.64129958986525293</v>
      </c>
    </row>
    <row r="22" spans="1:7" x14ac:dyDescent="0.25">
      <c r="B22" s="12">
        <f>SUM(B21)</f>
        <v>1.6412995898652529</v>
      </c>
      <c r="C22" s="12">
        <f>SUM(C21)</f>
        <v>-0.64129958986525293</v>
      </c>
    </row>
    <row r="23" spans="1:7" x14ac:dyDescent="0.25">
      <c r="B23" s="2"/>
    </row>
    <row r="24" spans="1:7" x14ac:dyDescent="0.25">
      <c r="A24" s="140" t="s">
        <v>149</v>
      </c>
      <c r="B24" s="140"/>
      <c r="C24" s="140"/>
      <c r="D24" s="140"/>
      <c r="E24" s="140"/>
      <c r="F24" s="140"/>
      <c r="G24" s="140"/>
    </row>
    <row r="25" spans="1:7" x14ac:dyDescent="0.25">
      <c r="B25" s="13"/>
    </row>
    <row r="26" spans="1:7" x14ac:dyDescent="0.25">
      <c r="B26" s="13"/>
    </row>
    <row r="27" spans="1:7" x14ac:dyDescent="0.25">
      <c r="B27" s="29" t="s">
        <v>150</v>
      </c>
      <c r="C27" s="30" t="s">
        <v>374</v>
      </c>
      <c r="D27" s="30" t="s">
        <v>152</v>
      </c>
      <c r="E27" s="30" t="s">
        <v>153</v>
      </c>
      <c r="F27" s="30" t="s">
        <v>154</v>
      </c>
    </row>
    <row r="28" spans="1:7" x14ac:dyDescent="0.25">
      <c r="B28" s="22" t="s">
        <v>161</v>
      </c>
      <c r="C28" s="24">
        <v>13</v>
      </c>
      <c r="D28" s="33">
        <v>147402050620.85004</v>
      </c>
      <c r="E28" s="33">
        <v>60000</v>
      </c>
      <c r="F28" s="33">
        <v>147401990620.85004</v>
      </c>
    </row>
    <row r="29" spans="1:7" x14ac:dyDescent="0.25">
      <c r="B29" s="22" t="s">
        <v>155</v>
      </c>
      <c r="C29" s="24"/>
      <c r="D29" s="33"/>
      <c r="E29" s="33"/>
      <c r="F29" s="33"/>
    </row>
    <row r="30" spans="1:7" x14ac:dyDescent="0.25">
      <c r="B30" s="25" t="s">
        <v>151</v>
      </c>
      <c r="C30" s="28">
        <v>13</v>
      </c>
      <c r="D30" s="26">
        <v>147402050620.85004</v>
      </c>
      <c r="E30" s="26">
        <v>60000</v>
      </c>
      <c r="F30" s="26">
        <v>147401990620.85004</v>
      </c>
    </row>
    <row r="31" spans="1:7" x14ac:dyDescent="0.25">
      <c r="B31"/>
      <c r="C31" s="17"/>
      <c r="D31"/>
      <c r="E31"/>
      <c r="F31"/>
    </row>
    <row r="32" spans="1:7" x14ac:dyDescent="0.25">
      <c r="B32"/>
      <c r="C32" s="17"/>
      <c r="D32"/>
      <c r="E32"/>
      <c r="F32"/>
    </row>
    <row r="33" spans="1:7" x14ac:dyDescent="0.25">
      <c r="B33"/>
      <c r="C33" s="17"/>
      <c r="D33"/>
      <c r="E33"/>
      <c r="F33"/>
    </row>
    <row r="34" spans="1:7" x14ac:dyDescent="0.25">
      <c r="B34"/>
      <c r="C34" s="17"/>
      <c r="D34"/>
      <c r="E34"/>
      <c r="F34"/>
    </row>
    <row r="35" spans="1:7" x14ac:dyDescent="0.25">
      <c r="B35"/>
      <c r="C35" s="17"/>
      <c r="D35"/>
      <c r="E35"/>
      <c r="F35"/>
    </row>
    <row r="36" spans="1:7" x14ac:dyDescent="0.25">
      <c r="B36"/>
      <c r="C36" s="17"/>
      <c r="D36"/>
      <c r="E36"/>
      <c r="F36"/>
    </row>
    <row r="37" spans="1:7" x14ac:dyDescent="0.25">
      <c r="B37"/>
      <c r="C37" s="17"/>
      <c r="D37"/>
      <c r="E37"/>
      <c r="F37"/>
    </row>
    <row r="38" spans="1:7" x14ac:dyDescent="0.25">
      <c r="B38" s="13"/>
    </row>
    <row r="39" spans="1:7" x14ac:dyDescent="0.25">
      <c r="A39" s="3"/>
    </row>
    <row r="40" spans="1:7" x14ac:dyDescent="0.25">
      <c r="A40" s="140" t="s">
        <v>160</v>
      </c>
      <c r="B40" s="140"/>
      <c r="C40" s="140"/>
      <c r="D40" s="140"/>
      <c r="E40" s="140"/>
      <c r="F40" s="140"/>
      <c r="G40" s="140"/>
    </row>
    <row r="41" spans="1:7" x14ac:dyDescent="0.25">
      <c r="A41" s="3"/>
    </row>
    <row r="42" spans="1:7" x14ac:dyDescent="0.25">
      <c r="A42" s="3"/>
    </row>
    <row r="43" spans="1:7" s="3" customFormat="1" x14ac:dyDescent="0.25">
      <c r="B43" s="27" t="s">
        <v>150</v>
      </c>
      <c r="C43" s="27" t="s">
        <v>375</v>
      </c>
      <c r="D43" s="27" t="s">
        <v>156</v>
      </c>
      <c r="E43"/>
      <c r="F43"/>
    </row>
    <row r="44" spans="1:7" x14ac:dyDescent="0.25">
      <c r="A44" s="3"/>
      <c r="B44" s="22" t="s">
        <v>161</v>
      </c>
      <c r="C44" s="24">
        <v>13</v>
      </c>
      <c r="D44" s="33">
        <v>5000050000</v>
      </c>
      <c r="E44"/>
      <c r="F44"/>
    </row>
    <row r="45" spans="1:7" x14ac:dyDescent="0.25">
      <c r="A45" s="3"/>
      <c r="B45" s="22" t="s">
        <v>155</v>
      </c>
      <c r="C45" s="24"/>
      <c r="D45" s="33"/>
      <c r="E45"/>
      <c r="F45"/>
    </row>
    <row r="46" spans="1:7" x14ac:dyDescent="0.25">
      <c r="A46" s="3"/>
      <c r="B46" s="25" t="s">
        <v>151</v>
      </c>
      <c r="C46" s="28">
        <v>13</v>
      </c>
      <c r="D46" s="26">
        <v>5000050000</v>
      </c>
      <c r="E46"/>
      <c r="F46"/>
    </row>
    <row r="47" spans="1:7" x14ac:dyDescent="0.25">
      <c r="A47" s="3"/>
      <c r="B47"/>
      <c r="C47" s="17"/>
      <c r="D47"/>
      <c r="E47"/>
      <c r="F47"/>
    </row>
    <row r="48" spans="1:7" x14ac:dyDescent="0.25">
      <c r="A48" s="3"/>
      <c r="B48"/>
      <c r="C48" s="17"/>
      <c r="D48"/>
      <c r="E48"/>
      <c r="F48"/>
    </row>
    <row r="49" spans="1:7" x14ac:dyDescent="0.25">
      <c r="A49" s="3"/>
      <c r="B49"/>
      <c r="C49" s="17"/>
      <c r="D49"/>
      <c r="E49"/>
      <c r="F49"/>
    </row>
    <row r="50" spans="1:7" x14ac:dyDescent="0.25">
      <c r="A50" s="3"/>
      <c r="B50"/>
      <c r="C50" s="17"/>
      <c r="D50"/>
      <c r="E50"/>
      <c r="F50"/>
    </row>
    <row r="51" spans="1:7" x14ac:dyDescent="0.25">
      <c r="A51" s="3"/>
      <c r="B51"/>
      <c r="C51" s="17"/>
      <c r="D51"/>
      <c r="E51"/>
      <c r="F51"/>
    </row>
    <row r="52" spans="1:7" x14ac:dyDescent="0.25">
      <c r="A52" s="3"/>
      <c r="B52"/>
      <c r="C52" s="17"/>
      <c r="D52"/>
      <c r="E52"/>
      <c r="F52"/>
    </row>
    <row r="53" spans="1:7" x14ac:dyDescent="0.25">
      <c r="A53" s="3"/>
      <c r="B53"/>
      <c r="C53" s="17"/>
      <c r="D53"/>
      <c r="E53"/>
      <c r="F53"/>
    </row>
    <row r="54" spans="1:7" x14ac:dyDescent="0.25">
      <c r="A54" s="3"/>
      <c r="B54"/>
      <c r="C54" s="17"/>
      <c r="D54"/>
      <c r="E54"/>
      <c r="F54"/>
    </row>
    <row r="56" spans="1:7" x14ac:dyDescent="0.25">
      <c r="B56" s="13"/>
    </row>
    <row r="57" spans="1:7" x14ac:dyDescent="0.25">
      <c r="A57" s="140" t="s">
        <v>157</v>
      </c>
      <c r="B57" s="140"/>
      <c r="C57" s="140"/>
      <c r="D57" s="140"/>
      <c r="E57" s="140"/>
      <c r="F57" s="140"/>
      <c r="G57" s="140"/>
    </row>
    <row r="59" spans="1:7" x14ac:dyDescent="0.25">
      <c r="B59"/>
      <c r="C59" s="17"/>
      <c r="D59"/>
      <c r="E59"/>
      <c r="F59"/>
    </row>
    <row r="60" spans="1:7" x14ac:dyDescent="0.25">
      <c r="B60"/>
      <c r="C60" s="17"/>
      <c r="D60"/>
      <c r="E60"/>
      <c r="F60"/>
    </row>
    <row r="61" spans="1:7" s="3" customFormat="1" x14ac:dyDescent="0.25">
      <c r="B61" s="27" t="s">
        <v>150</v>
      </c>
      <c r="C61" s="27" t="s">
        <v>375</v>
      </c>
      <c r="D61" s="27" t="s">
        <v>152</v>
      </c>
      <c r="E61" s="27" t="s">
        <v>153</v>
      </c>
      <c r="F61" s="27" t="s">
        <v>154</v>
      </c>
    </row>
    <row r="62" spans="1:7" x14ac:dyDescent="0.25">
      <c r="B62" s="22" t="s">
        <v>161</v>
      </c>
      <c r="C62" s="24">
        <v>13</v>
      </c>
      <c r="D62" s="33">
        <v>147402050620.85004</v>
      </c>
      <c r="E62" s="33">
        <v>60000</v>
      </c>
      <c r="F62" s="33">
        <v>147401990620.85004</v>
      </c>
    </row>
    <row r="63" spans="1:7" x14ac:dyDescent="0.25">
      <c r="B63" s="22" t="s">
        <v>155</v>
      </c>
      <c r="C63" s="24"/>
      <c r="D63" s="23"/>
      <c r="E63" s="23"/>
      <c r="F63" s="23"/>
    </row>
    <row r="64" spans="1:7" x14ac:dyDescent="0.25">
      <c r="B64" s="25" t="s">
        <v>151</v>
      </c>
      <c r="C64" s="28">
        <v>13</v>
      </c>
      <c r="D64" s="26">
        <v>147402050620.85004</v>
      </c>
      <c r="E64" s="26">
        <v>60000</v>
      </c>
      <c r="F64" s="26">
        <v>147401990620.85004</v>
      </c>
    </row>
    <row r="65" spans="1:7" x14ac:dyDescent="0.25">
      <c r="B65"/>
      <c r="C65" s="17"/>
      <c r="D65"/>
      <c r="E65"/>
      <c r="F65"/>
    </row>
    <row r="66" spans="1:7" x14ac:dyDescent="0.25">
      <c r="B66"/>
      <c r="C66" s="17"/>
      <c r="D66"/>
      <c r="E66"/>
      <c r="F66"/>
    </row>
    <row r="67" spans="1:7" x14ac:dyDescent="0.25">
      <c r="B67"/>
      <c r="C67" s="17"/>
      <c r="D67"/>
      <c r="E67"/>
      <c r="F67"/>
    </row>
    <row r="68" spans="1:7" x14ac:dyDescent="0.25">
      <c r="B68"/>
      <c r="C68" s="17"/>
      <c r="D68"/>
      <c r="E68"/>
      <c r="F68"/>
    </row>
    <row r="69" spans="1:7" x14ac:dyDescent="0.25">
      <c r="B69"/>
      <c r="C69" s="17"/>
      <c r="D69"/>
      <c r="E69"/>
      <c r="F69"/>
    </row>
    <row r="70" spans="1:7" x14ac:dyDescent="0.25">
      <c r="B70"/>
      <c r="C70" s="17"/>
      <c r="D70"/>
      <c r="E70"/>
      <c r="F70"/>
    </row>
    <row r="71" spans="1:7" x14ac:dyDescent="0.25">
      <c r="B71"/>
      <c r="C71" s="17"/>
      <c r="D71"/>
      <c r="E71"/>
      <c r="F71"/>
    </row>
    <row r="73" spans="1:7" x14ac:dyDescent="0.25">
      <c r="A73" s="140" t="s">
        <v>165</v>
      </c>
      <c r="B73" s="140"/>
      <c r="C73" s="140"/>
      <c r="D73" s="140"/>
      <c r="E73" s="140"/>
      <c r="F73" s="140"/>
      <c r="G73" s="140"/>
    </row>
    <row r="75" spans="1:7" s="3" customFormat="1" x14ac:dyDescent="0.25">
      <c r="B75" s="27" t="s">
        <v>150</v>
      </c>
      <c r="C75" s="27" t="s">
        <v>112</v>
      </c>
      <c r="D75" s="27" t="s">
        <v>152</v>
      </c>
      <c r="E75" s="27" t="s">
        <v>153</v>
      </c>
      <c r="F75" s="27" t="s">
        <v>154</v>
      </c>
    </row>
    <row r="76" spans="1:7" x14ac:dyDescent="0.25">
      <c r="B76" s="22" t="s">
        <v>161</v>
      </c>
      <c r="C76" s="24">
        <v>13</v>
      </c>
      <c r="D76" s="23">
        <v>147402050620.85004</v>
      </c>
      <c r="E76" s="23">
        <v>60000</v>
      </c>
      <c r="F76" s="23">
        <v>147401990620.85004</v>
      </c>
    </row>
    <row r="77" spans="1:7" x14ac:dyDescent="0.25">
      <c r="B77" s="22" t="s">
        <v>155</v>
      </c>
      <c r="C77" s="24"/>
      <c r="D77" s="23"/>
      <c r="E77" s="23"/>
      <c r="F77" s="23"/>
    </row>
    <row r="78" spans="1:7" x14ac:dyDescent="0.25">
      <c r="B78" s="25" t="s">
        <v>151</v>
      </c>
      <c r="C78" s="28">
        <v>13</v>
      </c>
      <c r="D78" s="26">
        <v>147402050620.85004</v>
      </c>
      <c r="E78" s="26">
        <v>60000</v>
      </c>
      <c r="F78" s="26">
        <v>147401990620.85004</v>
      </c>
    </row>
    <row r="79" spans="1:7" x14ac:dyDescent="0.25">
      <c r="B79"/>
      <c r="C79" s="17"/>
      <c r="D79"/>
      <c r="E79"/>
      <c r="F79"/>
    </row>
    <row r="80" spans="1:7" ht="14.25" customHeight="1" x14ac:dyDescent="0.25">
      <c r="B80"/>
      <c r="C80" s="17"/>
      <c r="D80"/>
      <c r="E80"/>
      <c r="F80"/>
    </row>
    <row r="81" spans="1:7" ht="14.25" customHeight="1" x14ac:dyDescent="0.25">
      <c r="B81"/>
      <c r="C81" s="17"/>
      <c r="D81"/>
      <c r="E81"/>
      <c r="F81"/>
    </row>
    <row r="82" spans="1:7" x14ac:dyDescent="0.25">
      <c r="B82"/>
      <c r="C82" s="17"/>
      <c r="D82"/>
      <c r="E82"/>
      <c r="F82"/>
    </row>
    <row r="83" spans="1:7" x14ac:dyDescent="0.25">
      <c r="B83"/>
      <c r="C83" s="17"/>
      <c r="D83"/>
      <c r="E83"/>
      <c r="F83"/>
    </row>
    <row r="84" spans="1:7" x14ac:dyDescent="0.25">
      <c r="B84"/>
      <c r="C84" s="17"/>
      <c r="D84"/>
      <c r="E84"/>
      <c r="F84"/>
    </row>
    <row r="87" spans="1:7" x14ac:dyDescent="0.25">
      <c r="A87" s="140" t="s">
        <v>158</v>
      </c>
      <c r="B87" s="140"/>
      <c r="C87" s="140"/>
      <c r="D87" s="140"/>
      <c r="E87" s="140"/>
      <c r="F87" s="140"/>
      <c r="G87" s="140"/>
    </row>
    <row r="89" spans="1:7" x14ac:dyDescent="0.25">
      <c r="B89"/>
      <c r="C89" s="17"/>
      <c r="D89"/>
      <c r="E89"/>
      <c r="F89"/>
    </row>
    <row r="90" spans="1:7" x14ac:dyDescent="0.25">
      <c r="B90"/>
      <c r="C90" s="17"/>
      <c r="D90"/>
      <c r="E90"/>
      <c r="F90"/>
    </row>
    <row r="91" spans="1:7" x14ac:dyDescent="0.25">
      <c r="B91" s="25" t="s">
        <v>150</v>
      </c>
      <c r="C91" s="27" t="s">
        <v>112</v>
      </c>
      <c r="D91" s="25" t="s">
        <v>152</v>
      </c>
      <c r="E91" s="25" t="s">
        <v>153</v>
      </c>
      <c r="F91" s="25" t="s">
        <v>154</v>
      </c>
    </row>
    <row r="92" spans="1:7" x14ac:dyDescent="0.25">
      <c r="B92" s="22" t="s">
        <v>161</v>
      </c>
      <c r="C92" s="24">
        <v>13</v>
      </c>
      <c r="D92" s="33">
        <v>147402050620.85004</v>
      </c>
      <c r="E92" s="33">
        <v>60000</v>
      </c>
      <c r="F92" s="33">
        <v>147401990620.85004</v>
      </c>
    </row>
    <row r="93" spans="1:7" x14ac:dyDescent="0.25">
      <c r="B93" s="22" t="s">
        <v>155</v>
      </c>
      <c r="C93" s="24"/>
      <c r="D93" s="23"/>
      <c r="E93" s="23"/>
      <c r="F93" s="23"/>
    </row>
    <row r="94" spans="1:7" x14ac:dyDescent="0.25">
      <c r="B94" s="25" t="s">
        <v>151</v>
      </c>
      <c r="C94" s="28">
        <v>13</v>
      </c>
      <c r="D94" s="26">
        <v>147402050620.85004</v>
      </c>
      <c r="E94" s="26">
        <v>60000</v>
      </c>
      <c r="F94" s="26">
        <v>147401990620.85004</v>
      </c>
    </row>
    <row r="95" spans="1:7" x14ac:dyDescent="0.25">
      <c r="B95"/>
      <c r="C95" s="17"/>
      <c r="D95"/>
      <c r="E95"/>
      <c r="F95"/>
    </row>
    <row r="96" spans="1:7" x14ac:dyDescent="0.25">
      <c r="B96"/>
      <c r="C96" s="17"/>
      <c r="D96"/>
      <c r="E96"/>
      <c r="F96"/>
    </row>
    <row r="97" spans="1:7" x14ac:dyDescent="0.25">
      <c r="B97"/>
      <c r="C97" s="17"/>
      <c r="D97"/>
      <c r="E97"/>
      <c r="F97"/>
    </row>
    <row r="102" spans="1:7" x14ac:dyDescent="0.25">
      <c r="A102" s="140" t="s">
        <v>159</v>
      </c>
      <c r="B102" s="140"/>
      <c r="C102" s="140"/>
      <c r="D102" s="140"/>
      <c r="E102" s="140"/>
      <c r="F102" s="140"/>
      <c r="G102" s="140"/>
    </row>
    <row r="104" spans="1:7" x14ac:dyDescent="0.25">
      <c r="B104"/>
      <c r="C104" s="17"/>
      <c r="D104"/>
      <c r="E104"/>
      <c r="F104"/>
    </row>
    <row r="105" spans="1:7" x14ac:dyDescent="0.25">
      <c r="B105"/>
      <c r="C105" s="17"/>
      <c r="D105"/>
      <c r="E105"/>
      <c r="F105"/>
    </row>
    <row r="106" spans="1:7" x14ac:dyDescent="0.25">
      <c r="B106" s="25" t="s">
        <v>150</v>
      </c>
      <c r="C106" s="27" t="s">
        <v>112</v>
      </c>
      <c r="D106" s="25" t="s">
        <v>152</v>
      </c>
      <c r="E106" s="25" t="s">
        <v>153</v>
      </c>
      <c r="F106" s="25" t="s">
        <v>154</v>
      </c>
    </row>
    <row r="107" spans="1:7" x14ac:dyDescent="0.25">
      <c r="B107" s="22" t="s">
        <v>161</v>
      </c>
      <c r="C107" s="24">
        <v>13</v>
      </c>
      <c r="D107" s="33">
        <v>147402050620.85004</v>
      </c>
      <c r="E107" s="33">
        <v>60000</v>
      </c>
      <c r="F107" s="33">
        <v>147401990620.85004</v>
      </c>
    </row>
    <row r="108" spans="1:7" x14ac:dyDescent="0.25">
      <c r="B108" s="22" t="s">
        <v>155</v>
      </c>
      <c r="C108" s="24"/>
      <c r="D108" s="23"/>
      <c r="E108" s="23"/>
      <c r="F108" s="23"/>
    </row>
    <row r="109" spans="1:7" x14ac:dyDescent="0.25">
      <c r="B109" s="25" t="s">
        <v>151</v>
      </c>
      <c r="C109" s="28">
        <v>13</v>
      </c>
      <c r="D109" s="26">
        <v>147402050620.85004</v>
      </c>
      <c r="E109" s="26">
        <v>60000</v>
      </c>
      <c r="F109" s="26">
        <v>147401990620.85004</v>
      </c>
    </row>
    <row r="110" spans="1:7" x14ac:dyDescent="0.25">
      <c r="B110"/>
      <c r="C110" s="17"/>
      <c r="D110"/>
      <c r="E110"/>
      <c r="F110"/>
    </row>
    <row r="111" spans="1:7" x14ac:dyDescent="0.25">
      <c r="B111"/>
      <c r="C111" s="17"/>
      <c r="D111"/>
      <c r="E111"/>
      <c r="F111"/>
    </row>
    <row r="112" spans="1:7" x14ac:dyDescent="0.25">
      <c r="B112"/>
      <c r="C112" s="17"/>
      <c r="D112"/>
      <c r="E112"/>
      <c r="F112"/>
    </row>
    <row r="116" spans="1:7" x14ac:dyDescent="0.25">
      <c r="A116" s="140" t="s">
        <v>166</v>
      </c>
      <c r="B116" s="140"/>
      <c r="C116" s="140"/>
      <c r="D116" s="140"/>
      <c r="E116" s="140"/>
      <c r="F116" s="140"/>
      <c r="G116" s="140"/>
    </row>
    <row r="118" spans="1:7" ht="30" x14ac:dyDescent="0.25">
      <c r="B118" s="31" t="s">
        <v>168</v>
      </c>
      <c r="C118" s="31" t="s">
        <v>167</v>
      </c>
      <c r="E118" s="31" t="s">
        <v>275</v>
      </c>
      <c r="F118" s="31" t="s">
        <v>276</v>
      </c>
    </row>
    <row r="119" spans="1:7" s="44" customFormat="1" ht="38.25" customHeight="1" x14ac:dyDescent="0.25">
      <c r="B119" s="8">
        <f>SUM(GENERAL!$R$8:$R$1048576)</f>
        <v>2219894203.1900001</v>
      </c>
      <c r="C119" s="8">
        <f>SUM(GENERAL!$S$8:$S$1048576)</f>
        <v>0</v>
      </c>
      <c r="E119" s="45">
        <f>SUM(GENERAL!$AT$8:$AT$1048576)</f>
        <v>3643508445.2399998</v>
      </c>
      <c r="F119" s="45">
        <f>SUM(GENERAL!$AU$8:$AU$1048576)</f>
        <v>0</v>
      </c>
    </row>
    <row r="120" spans="1:7" ht="29.25" customHeight="1" x14ac:dyDescent="0.25">
      <c r="B120" s="31" t="s">
        <v>170</v>
      </c>
      <c r="C120" s="32">
        <f>+B119+C119</f>
        <v>2219894203.1900001</v>
      </c>
      <c r="E120" s="31" t="s">
        <v>169</v>
      </c>
      <c r="F120" s="32">
        <f>+E119+F119</f>
        <v>3643508445.2399998</v>
      </c>
      <c r="G120"/>
    </row>
    <row r="121" spans="1:7" x14ac:dyDescent="0.25">
      <c r="E121"/>
      <c r="F121"/>
      <c r="G121"/>
    </row>
    <row r="122" spans="1:7" x14ac:dyDescent="0.25">
      <c r="E122"/>
      <c r="F122"/>
      <c r="G122"/>
    </row>
    <row r="123" spans="1:7" x14ac:dyDescent="0.25">
      <c r="E123"/>
      <c r="F123"/>
      <c r="G123"/>
    </row>
    <row r="124" spans="1:7" x14ac:dyDescent="0.25">
      <c r="E124"/>
      <c r="F124"/>
      <c r="G124"/>
    </row>
    <row r="125" spans="1:7" x14ac:dyDescent="0.25">
      <c r="B125" s="2"/>
      <c r="E125"/>
      <c r="F125"/>
      <c r="G125"/>
    </row>
    <row r="126" spans="1:7" x14ac:dyDescent="0.25">
      <c r="B126" s="2"/>
      <c r="E126"/>
      <c r="F126"/>
      <c r="G126"/>
    </row>
    <row r="127" spans="1:7" x14ac:dyDescent="0.25">
      <c r="B127" s="2"/>
      <c r="E127"/>
      <c r="F127"/>
      <c r="G127"/>
    </row>
    <row r="128" spans="1:7" x14ac:dyDescent="0.25">
      <c r="B128" s="2"/>
      <c r="E128"/>
      <c r="F128"/>
      <c r="G128"/>
    </row>
    <row r="129" spans="5:7" x14ac:dyDescent="0.25">
      <c r="E129"/>
      <c r="F129"/>
      <c r="G129"/>
    </row>
    <row r="130" spans="5:7" x14ac:dyDescent="0.25">
      <c r="E130"/>
      <c r="F130"/>
      <c r="G130"/>
    </row>
    <row r="131" spans="5:7" x14ac:dyDescent="0.25">
      <c r="E131"/>
      <c r="F131"/>
      <c r="G131"/>
    </row>
    <row r="132" spans="5:7" x14ac:dyDescent="0.25">
      <c r="E132"/>
      <c r="F132"/>
      <c r="G132"/>
    </row>
    <row r="133" spans="5:7" x14ac:dyDescent="0.25">
      <c r="E133"/>
      <c r="F133"/>
      <c r="G133"/>
    </row>
  </sheetData>
  <sheetProtection algorithmName="SHA-512" hashValue="mCMK06vKKPPLI+NmWoh8JHqqNgSitrvI4D1JriBY8UWw/mGyi1CzztnqYf3Vsjbp61ZM3AinQCTxJJgeSpcEuA==" saltValue="vcE69QBzs98YB9rnApWMsg==" spinCount="100000" sheet="1" objects="1" scenarios="1" insertHyperlinks="0" sort="0" autoFilter="0"/>
  <mergeCells count="22">
    <mergeCell ref="A8:B8"/>
    <mergeCell ref="A9:B9"/>
    <mergeCell ref="A10:B10"/>
    <mergeCell ref="A12:G12"/>
    <mergeCell ref="A24:G24"/>
    <mergeCell ref="C10:E10"/>
    <mergeCell ref="A40:G40"/>
    <mergeCell ref="A116:G116"/>
    <mergeCell ref="A1:G1"/>
    <mergeCell ref="A2:G2"/>
    <mergeCell ref="A5:B5"/>
    <mergeCell ref="A6:B6"/>
    <mergeCell ref="A7:B7"/>
    <mergeCell ref="A73:G73"/>
    <mergeCell ref="A87:G87"/>
    <mergeCell ref="A102:G102"/>
    <mergeCell ref="A57:G57"/>
    <mergeCell ref="C5:E5"/>
    <mergeCell ref="C6:E6"/>
    <mergeCell ref="C7:E7"/>
    <mergeCell ref="C8:E8"/>
    <mergeCell ref="C9:E9"/>
  </mergeCells>
  <hyperlinks>
    <hyperlink ref="C10" r:id="rId7" display="rocio.cubillos@correo.policia.gov.co 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1" orientation="landscape" r:id="rId8"/>
  <headerFooter>
    <oddFooter>Página &amp;P</oddFooter>
  </headerFooter>
  <rowBreaks count="1" manualBreakCount="1">
    <brk id="56" max="6" man="1"/>
  </rowBreaks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</sheetPr>
  <dimension ref="A1:B43"/>
  <sheetViews>
    <sheetView zoomScale="85" zoomScaleNormal="85" workbookViewId="0">
      <selection activeCell="A40" sqref="A40"/>
    </sheetView>
  </sheetViews>
  <sheetFormatPr baseColWidth="10" defaultRowHeight="15" x14ac:dyDescent="0.25"/>
  <cols>
    <col min="1" max="1" width="35.7109375" style="34" customWidth="1"/>
    <col min="2" max="2" width="71.140625" customWidth="1"/>
  </cols>
  <sheetData>
    <row r="1" spans="1:2" ht="26.25" customHeight="1" x14ac:dyDescent="0.25">
      <c r="A1" s="145" t="s">
        <v>250</v>
      </c>
      <c r="B1" s="145"/>
    </row>
    <row r="3" spans="1:2" ht="27.75" customHeight="1" x14ac:dyDescent="0.25">
      <c r="A3" s="35" t="s">
        <v>138</v>
      </c>
      <c r="B3" s="20" t="s">
        <v>266</v>
      </c>
    </row>
    <row r="4" spans="1:2" x14ac:dyDescent="0.25">
      <c r="A4" s="35" t="s">
        <v>118</v>
      </c>
      <c r="B4" s="18" t="s">
        <v>245</v>
      </c>
    </row>
    <row r="5" spans="1:2" x14ac:dyDescent="0.25">
      <c r="A5" s="35" t="s">
        <v>119</v>
      </c>
      <c r="B5" s="18" t="s">
        <v>246</v>
      </c>
    </row>
    <row r="6" spans="1:2" x14ac:dyDescent="0.25">
      <c r="A6" s="35" t="s">
        <v>128</v>
      </c>
      <c r="B6" s="18" t="s">
        <v>267</v>
      </c>
    </row>
    <row r="7" spans="1:2" x14ac:dyDescent="0.25">
      <c r="A7" s="35" t="s">
        <v>129</v>
      </c>
      <c r="B7" s="18" t="s">
        <v>268</v>
      </c>
    </row>
    <row r="8" spans="1:2" x14ac:dyDescent="0.25">
      <c r="A8" s="35" t="s">
        <v>173</v>
      </c>
      <c r="B8" s="18" t="s">
        <v>247</v>
      </c>
    </row>
    <row r="9" spans="1:2" x14ac:dyDescent="0.25">
      <c r="A9" s="35" t="s">
        <v>174</v>
      </c>
      <c r="B9" s="18" t="s">
        <v>248</v>
      </c>
    </row>
    <row r="10" spans="1:2" x14ac:dyDescent="0.25">
      <c r="A10" s="35" t="s">
        <v>127</v>
      </c>
      <c r="B10" s="18"/>
    </row>
    <row r="11" spans="1:2" x14ac:dyDescent="0.25">
      <c r="A11" s="35" t="s">
        <v>175</v>
      </c>
      <c r="B11" s="18" t="s">
        <v>269</v>
      </c>
    </row>
    <row r="12" spans="1:2" x14ac:dyDescent="0.25">
      <c r="A12" s="35" t="s">
        <v>176</v>
      </c>
      <c r="B12" s="18" t="s">
        <v>270</v>
      </c>
    </row>
    <row r="13" spans="1:2" x14ac:dyDescent="0.25">
      <c r="A13" s="35" t="s">
        <v>177</v>
      </c>
      <c r="B13" s="18" t="s">
        <v>271</v>
      </c>
    </row>
    <row r="14" spans="1:2" x14ac:dyDescent="0.25">
      <c r="A14" s="35" t="s">
        <v>178</v>
      </c>
      <c r="B14" s="18" t="s">
        <v>249</v>
      </c>
    </row>
    <row r="16" spans="1:2" ht="23.25" x14ac:dyDescent="0.25">
      <c r="A16" s="145" t="s">
        <v>251</v>
      </c>
      <c r="B16" s="145"/>
    </row>
    <row r="19" spans="1:2" x14ac:dyDescent="0.25">
      <c r="A19" s="35" t="s">
        <v>135</v>
      </c>
      <c r="B19" s="20" t="s">
        <v>272</v>
      </c>
    </row>
    <row r="20" spans="1:2" x14ac:dyDescent="0.25">
      <c r="A20" s="35" t="s">
        <v>161</v>
      </c>
      <c r="B20" s="18" t="s">
        <v>182</v>
      </c>
    </row>
    <row r="21" spans="1:2" x14ac:dyDescent="0.25">
      <c r="A21" s="35" t="s">
        <v>126</v>
      </c>
      <c r="B21" s="18" t="s">
        <v>183</v>
      </c>
    </row>
    <row r="22" spans="1:2" x14ac:dyDescent="0.25">
      <c r="A22" s="35" t="s">
        <v>125</v>
      </c>
      <c r="B22" s="18" t="s">
        <v>184</v>
      </c>
    </row>
    <row r="23" spans="1:2" x14ac:dyDescent="0.25">
      <c r="A23" s="35" t="s">
        <v>273</v>
      </c>
      <c r="B23" s="18"/>
    </row>
    <row r="24" spans="1:2" x14ac:dyDescent="0.25">
      <c r="A24" s="35" t="s">
        <v>162</v>
      </c>
      <c r="B24" s="18" t="s">
        <v>181</v>
      </c>
    </row>
    <row r="25" spans="1:2" x14ac:dyDescent="0.25">
      <c r="A25" s="35" t="s">
        <v>164</v>
      </c>
      <c r="B25" s="18" t="s">
        <v>180</v>
      </c>
    </row>
    <row r="26" spans="1:2" x14ac:dyDescent="0.25">
      <c r="A26" s="35" t="s">
        <v>274</v>
      </c>
      <c r="B26" s="18" t="s">
        <v>179</v>
      </c>
    </row>
    <row r="27" spans="1:2" x14ac:dyDescent="0.25">
      <c r="A27" s="35" t="s">
        <v>163</v>
      </c>
      <c r="B27" s="18"/>
    </row>
    <row r="28" spans="1:2" x14ac:dyDescent="0.25">
      <c r="A28" s="35" t="s">
        <v>120</v>
      </c>
      <c r="B28" s="18"/>
    </row>
    <row r="30" spans="1:2" ht="23.25" x14ac:dyDescent="0.25">
      <c r="A30" s="145" t="s">
        <v>256</v>
      </c>
      <c r="B30" s="145"/>
    </row>
    <row r="32" spans="1:2" x14ac:dyDescent="0.25">
      <c r="A32" s="35" t="s">
        <v>255</v>
      </c>
      <c r="B32" s="20"/>
    </row>
    <row r="33" spans="1:2" x14ac:dyDescent="0.25">
      <c r="A33" s="35" t="s">
        <v>253</v>
      </c>
      <c r="B33" s="18"/>
    </row>
    <row r="34" spans="1:2" x14ac:dyDescent="0.25">
      <c r="A34" s="35" t="s">
        <v>265</v>
      </c>
      <c r="B34" s="18"/>
    </row>
    <row r="35" spans="1:2" x14ac:dyDescent="0.25">
      <c r="A35" s="35" t="s">
        <v>254</v>
      </c>
      <c r="B35" s="18"/>
    </row>
    <row r="38" spans="1:2" ht="23.25" x14ac:dyDescent="0.25">
      <c r="A38" s="145" t="s">
        <v>380</v>
      </c>
      <c r="B38" s="145"/>
    </row>
    <row r="40" spans="1:2" x14ac:dyDescent="0.25">
      <c r="A40" s="35" t="s">
        <v>123</v>
      </c>
      <c r="B40" s="20"/>
    </row>
    <row r="41" spans="1:2" x14ac:dyDescent="0.25">
      <c r="A41" s="35" t="s">
        <v>253</v>
      </c>
      <c r="B41" s="18"/>
    </row>
    <row r="42" spans="1:2" x14ac:dyDescent="0.25">
      <c r="A42" s="35" t="s">
        <v>265</v>
      </c>
      <c r="B42" s="18"/>
    </row>
    <row r="43" spans="1:2" x14ac:dyDescent="0.25">
      <c r="A43" s="35" t="s">
        <v>254</v>
      </c>
      <c r="B43" s="18"/>
    </row>
  </sheetData>
  <sheetProtection algorithmName="SHA-512" hashValue="JpBvg7vN2+r6rdIcXAdjgftUX4SGtYDLB8x+igmqtTJHeCgl5Pa4d0d3do65goyMGdNHnTfb/p1HC5k6JMzWmg==" saltValue="yzESFKU3ZVfCjlPPmMHOIg==" spinCount="100000" sheet="1" objects="1" scenarios="1"/>
  <mergeCells count="4">
    <mergeCell ref="A1:B1"/>
    <mergeCell ref="A16:B16"/>
    <mergeCell ref="A30:B30"/>
    <mergeCell ref="A38:B38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499984740745262"/>
  </sheetPr>
  <dimension ref="A1:F89"/>
  <sheetViews>
    <sheetView zoomScaleNormal="100" workbookViewId="0">
      <selection activeCell="E85" sqref="E85"/>
    </sheetView>
  </sheetViews>
  <sheetFormatPr baseColWidth="10" defaultRowHeight="15" x14ac:dyDescent="0.25"/>
  <cols>
    <col min="1" max="1" width="22.140625" bestFit="1" customWidth="1"/>
    <col min="2" max="2" width="18.7109375" style="39" bestFit="1" customWidth="1"/>
    <col min="3" max="3" width="22.140625" bestFit="1" customWidth="1"/>
    <col min="4" max="4" width="19.5703125" customWidth="1"/>
    <col min="5" max="5" width="72.140625" bestFit="1" customWidth="1"/>
    <col min="6" max="6" width="21.42578125" customWidth="1"/>
  </cols>
  <sheetData>
    <row r="1" spans="1:6" x14ac:dyDescent="0.25">
      <c r="A1" s="1" t="s">
        <v>0</v>
      </c>
      <c r="B1" s="37" t="s">
        <v>186</v>
      </c>
      <c r="C1" s="1" t="s">
        <v>0</v>
      </c>
      <c r="D1" s="1" t="s">
        <v>191</v>
      </c>
      <c r="E1" s="1" t="s">
        <v>121</v>
      </c>
      <c r="F1" s="40" t="s">
        <v>108</v>
      </c>
    </row>
    <row r="2" spans="1:6" x14ac:dyDescent="0.25">
      <c r="A2" s="19" t="s">
        <v>185</v>
      </c>
      <c r="B2" s="38">
        <v>1</v>
      </c>
      <c r="C2" s="19" t="s">
        <v>185</v>
      </c>
      <c r="D2" s="18" t="s">
        <v>187</v>
      </c>
      <c r="E2" s="18" t="s">
        <v>243</v>
      </c>
      <c r="F2" s="18" t="s">
        <v>344</v>
      </c>
    </row>
    <row r="3" spans="1:6" x14ac:dyDescent="0.25">
      <c r="A3" s="19" t="s">
        <v>26</v>
      </c>
      <c r="B3" s="38">
        <v>2</v>
      </c>
      <c r="C3" s="19" t="s">
        <v>26</v>
      </c>
      <c r="D3" s="18" t="s">
        <v>187</v>
      </c>
      <c r="E3" s="18" t="s">
        <v>78</v>
      </c>
      <c r="F3" s="18" t="s">
        <v>345</v>
      </c>
    </row>
    <row r="4" spans="1:6" x14ac:dyDescent="0.25">
      <c r="A4" s="19" t="s">
        <v>22</v>
      </c>
      <c r="B4" s="38">
        <v>3</v>
      </c>
      <c r="C4" s="19" t="s">
        <v>22</v>
      </c>
      <c r="D4" s="18" t="s">
        <v>187</v>
      </c>
      <c r="E4" s="18" t="s">
        <v>74</v>
      </c>
      <c r="F4" s="18" t="s">
        <v>346</v>
      </c>
    </row>
    <row r="5" spans="1:6" x14ac:dyDescent="0.25">
      <c r="A5" s="19" t="s">
        <v>24</v>
      </c>
      <c r="B5" s="38">
        <v>4</v>
      </c>
      <c r="C5" s="19" t="s">
        <v>24</v>
      </c>
      <c r="D5" s="18" t="s">
        <v>187</v>
      </c>
      <c r="E5" s="18" t="s">
        <v>76</v>
      </c>
      <c r="F5" s="18" t="s">
        <v>347</v>
      </c>
    </row>
    <row r="6" spans="1:6" x14ac:dyDescent="0.25">
      <c r="A6" s="19" t="s">
        <v>19</v>
      </c>
      <c r="B6" s="38">
        <v>5</v>
      </c>
      <c r="C6" s="19" t="s">
        <v>19</v>
      </c>
      <c r="D6" s="18" t="s">
        <v>187</v>
      </c>
      <c r="E6" s="18" t="s">
        <v>71</v>
      </c>
      <c r="F6" s="18" t="s">
        <v>348</v>
      </c>
    </row>
    <row r="7" spans="1:6" x14ac:dyDescent="0.25">
      <c r="A7" s="19" t="s">
        <v>2</v>
      </c>
      <c r="B7" s="38">
        <v>6</v>
      </c>
      <c r="C7" s="19" t="s">
        <v>2</v>
      </c>
      <c r="D7" s="18" t="s">
        <v>187</v>
      </c>
      <c r="E7" s="18" t="s">
        <v>54</v>
      </c>
      <c r="F7" s="18" t="s">
        <v>344</v>
      </c>
    </row>
    <row r="8" spans="1:6" x14ac:dyDescent="0.25">
      <c r="A8" s="19" t="s">
        <v>20</v>
      </c>
      <c r="B8" s="38">
        <v>8</v>
      </c>
      <c r="C8" s="19" t="s">
        <v>20</v>
      </c>
      <c r="D8" s="18" t="s">
        <v>187</v>
      </c>
      <c r="E8" s="18" t="s">
        <v>72</v>
      </c>
      <c r="F8" s="18" t="s">
        <v>349</v>
      </c>
    </row>
    <row r="9" spans="1:6" x14ac:dyDescent="0.25">
      <c r="A9" s="19" t="s">
        <v>38</v>
      </c>
      <c r="B9" s="38">
        <v>10</v>
      </c>
      <c r="C9" s="19" t="s">
        <v>38</v>
      </c>
      <c r="D9" s="18" t="s">
        <v>188</v>
      </c>
      <c r="E9" s="18" t="s">
        <v>90</v>
      </c>
      <c r="F9" s="18" t="s">
        <v>350</v>
      </c>
    </row>
    <row r="10" spans="1:6" x14ac:dyDescent="0.25">
      <c r="A10" s="19" t="s">
        <v>40</v>
      </c>
      <c r="B10" s="38">
        <v>11</v>
      </c>
      <c r="C10" s="19" t="s">
        <v>40</v>
      </c>
      <c r="D10" s="18" t="s">
        <v>196</v>
      </c>
      <c r="E10" s="18" t="s">
        <v>92</v>
      </c>
      <c r="F10" s="18" t="s">
        <v>351</v>
      </c>
    </row>
    <row r="11" spans="1:6" x14ac:dyDescent="0.25">
      <c r="A11" s="19" t="s">
        <v>52</v>
      </c>
      <c r="B11" s="38">
        <v>12</v>
      </c>
      <c r="C11" s="19" t="s">
        <v>52</v>
      </c>
      <c r="D11" s="18" t="s">
        <v>194</v>
      </c>
      <c r="E11" s="18" t="s">
        <v>104</v>
      </c>
      <c r="F11" s="18" t="s">
        <v>352</v>
      </c>
    </row>
    <row r="12" spans="1:6" x14ac:dyDescent="0.25">
      <c r="A12" s="19" t="s">
        <v>3</v>
      </c>
      <c r="B12" s="38">
        <v>13</v>
      </c>
      <c r="C12" s="19" t="s">
        <v>3</v>
      </c>
      <c r="D12" s="18" t="s">
        <v>188</v>
      </c>
      <c r="E12" s="18" t="s">
        <v>55</v>
      </c>
      <c r="F12" s="18" t="s">
        <v>203</v>
      </c>
    </row>
    <row r="13" spans="1:6" x14ac:dyDescent="0.25">
      <c r="A13" s="19" t="s">
        <v>4</v>
      </c>
      <c r="B13" s="38">
        <v>15</v>
      </c>
      <c r="C13" s="19" t="s">
        <v>4</v>
      </c>
      <c r="D13" s="18" t="s">
        <v>189</v>
      </c>
      <c r="E13" s="18" t="s">
        <v>56</v>
      </c>
      <c r="F13" s="18" t="s">
        <v>204</v>
      </c>
    </row>
    <row r="14" spans="1:6" x14ac:dyDescent="0.25">
      <c r="A14" s="19" t="s">
        <v>5</v>
      </c>
      <c r="B14" s="38">
        <v>20</v>
      </c>
      <c r="C14" s="19" t="s">
        <v>5</v>
      </c>
      <c r="D14" s="18" t="s">
        <v>190</v>
      </c>
      <c r="E14" s="18" t="s">
        <v>57</v>
      </c>
      <c r="F14" s="18" t="s">
        <v>208</v>
      </c>
    </row>
    <row r="15" spans="1:6" x14ac:dyDescent="0.25">
      <c r="A15" s="19" t="s">
        <v>6</v>
      </c>
      <c r="B15" s="38">
        <v>21</v>
      </c>
      <c r="C15" s="19" t="s">
        <v>6</v>
      </c>
      <c r="D15" s="18" t="s">
        <v>192</v>
      </c>
      <c r="E15" s="18" t="s">
        <v>58</v>
      </c>
      <c r="F15" s="18" t="s">
        <v>209</v>
      </c>
    </row>
    <row r="16" spans="1:6" x14ac:dyDescent="0.25">
      <c r="A16" s="19" t="s">
        <v>7</v>
      </c>
      <c r="B16" s="38">
        <v>23</v>
      </c>
      <c r="C16" s="19" t="s">
        <v>7</v>
      </c>
      <c r="D16" s="18" t="s">
        <v>193</v>
      </c>
      <c r="E16" s="18" t="s">
        <v>59</v>
      </c>
      <c r="F16" s="18" t="s">
        <v>211</v>
      </c>
    </row>
    <row r="17" spans="1:6" x14ac:dyDescent="0.25">
      <c r="A17" s="19" t="s">
        <v>8</v>
      </c>
      <c r="B17" s="38">
        <v>24</v>
      </c>
      <c r="C17" s="19" t="s">
        <v>8</v>
      </c>
      <c r="D17" s="18" t="s">
        <v>194</v>
      </c>
      <c r="E17" s="18" t="s">
        <v>60</v>
      </c>
      <c r="F17" s="18" t="s">
        <v>212</v>
      </c>
    </row>
    <row r="18" spans="1:6" x14ac:dyDescent="0.25">
      <c r="A18" s="19" t="s">
        <v>9</v>
      </c>
      <c r="B18" s="38">
        <v>26</v>
      </c>
      <c r="C18" s="19" t="s">
        <v>9</v>
      </c>
      <c r="D18" s="18" t="s">
        <v>188</v>
      </c>
      <c r="E18" s="18" t="s">
        <v>61</v>
      </c>
      <c r="F18" s="18" t="s">
        <v>353</v>
      </c>
    </row>
    <row r="19" spans="1:6" x14ac:dyDescent="0.25">
      <c r="A19" s="19" t="s">
        <v>10</v>
      </c>
      <c r="B19" s="38">
        <v>27</v>
      </c>
      <c r="C19" s="19" t="s">
        <v>10</v>
      </c>
      <c r="D19" s="18" t="s">
        <v>193</v>
      </c>
      <c r="E19" s="18" t="s">
        <v>62</v>
      </c>
      <c r="F19" s="18" t="s">
        <v>215</v>
      </c>
    </row>
    <row r="20" spans="1:6" x14ac:dyDescent="0.25">
      <c r="A20" s="19" t="s">
        <v>11</v>
      </c>
      <c r="B20" s="38">
        <v>28</v>
      </c>
      <c r="C20" s="19" t="s">
        <v>11</v>
      </c>
      <c r="D20" s="18" t="s">
        <v>192</v>
      </c>
      <c r="E20" s="18" t="s">
        <v>63</v>
      </c>
      <c r="F20" s="18" t="s">
        <v>214</v>
      </c>
    </row>
    <row r="21" spans="1:6" x14ac:dyDescent="0.25">
      <c r="A21" s="19" t="s">
        <v>12</v>
      </c>
      <c r="B21" s="38">
        <v>29</v>
      </c>
      <c r="C21" s="19" t="s">
        <v>12</v>
      </c>
      <c r="D21" s="18" t="s">
        <v>192</v>
      </c>
      <c r="E21" s="18" t="s">
        <v>64</v>
      </c>
      <c r="F21" s="18" t="s">
        <v>216</v>
      </c>
    </row>
    <row r="22" spans="1:6" x14ac:dyDescent="0.25">
      <c r="A22" s="19" t="s">
        <v>13</v>
      </c>
      <c r="B22" s="38">
        <v>34</v>
      </c>
      <c r="C22" s="19" t="s">
        <v>13</v>
      </c>
      <c r="D22" s="18" t="s">
        <v>190</v>
      </c>
      <c r="E22" s="18" t="s">
        <v>65</v>
      </c>
      <c r="F22" s="18" t="s">
        <v>220</v>
      </c>
    </row>
    <row r="23" spans="1:6" x14ac:dyDescent="0.25">
      <c r="A23" s="19" t="s">
        <v>14</v>
      </c>
      <c r="B23" s="38">
        <v>35</v>
      </c>
      <c r="C23" s="19" t="s">
        <v>14</v>
      </c>
      <c r="D23" s="18" t="s">
        <v>195</v>
      </c>
      <c r="E23" s="18" t="s">
        <v>66</v>
      </c>
      <c r="F23" s="18" t="s">
        <v>221</v>
      </c>
    </row>
    <row r="24" spans="1:6" x14ac:dyDescent="0.25">
      <c r="A24" s="19" t="s">
        <v>15</v>
      </c>
      <c r="B24" s="38">
        <v>38</v>
      </c>
      <c r="C24" s="19" t="s">
        <v>15</v>
      </c>
      <c r="D24" s="18" t="s">
        <v>188</v>
      </c>
      <c r="E24" s="18" t="s">
        <v>67</v>
      </c>
      <c r="F24" s="18" t="s">
        <v>222</v>
      </c>
    </row>
    <row r="25" spans="1:6" x14ac:dyDescent="0.25">
      <c r="A25" s="19" t="s">
        <v>16</v>
      </c>
      <c r="B25" s="38">
        <v>39</v>
      </c>
      <c r="C25" s="19" t="s">
        <v>16</v>
      </c>
      <c r="D25" s="18" t="s">
        <v>193</v>
      </c>
      <c r="E25" s="18" t="s">
        <v>68</v>
      </c>
      <c r="F25" s="18" t="s">
        <v>223</v>
      </c>
    </row>
    <row r="26" spans="1:6" x14ac:dyDescent="0.25">
      <c r="A26" s="19" t="s">
        <v>17</v>
      </c>
      <c r="B26" s="38">
        <v>42</v>
      </c>
      <c r="C26" s="19" t="s">
        <v>17</v>
      </c>
      <c r="D26" s="18" t="s">
        <v>194</v>
      </c>
      <c r="E26" s="18" t="s">
        <v>69</v>
      </c>
      <c r="F26" s="18" t="s">
        <v>226</v>
      </c>
    </row>
    <row r="27" spans="1:6" x14ac:dyDescent="0.25">
      <c r="A27" s="19" t="s">
        <v>18</v>
      </c>
      <c r="B27" s="38">
        <v>44</v>
      </c>
      <c r="C27" s="19" t="s">
        <v>18</v>
      </c>
      <c r="D27" s="18" t="s">
        <v>192</v>
      </c>
      <c r="E27" s="18" t="s">
        <v>70</v>
      </c>
      <c r="F27" s="18" t="s">
        <v>225</v>
      </c>
    </row>
    <row r="28" spans="1:6" x14ac:dyDescent="0.25">
      <c r="A28" s="19" t="s">
        <v>34</v>
      </c>
      <c r="B28" s="38">
        <v>45</v>
      </c>
      <c r="C28" s="19" t="s">
        <v>34</v>
      </c>
      <c r="D28" s="18" t="s">
        <v>188</v>
      </c>
      <c r="E28" s="18" t="s">
        <v>86</v>
      </c>
      <c r="F28" s="18" t="s">
        <v>354</v>
      </c>
    </row>
    <row r="29" spans="1:6" x14ac:dyDescent="0.25">
      <c r="A29" s="19" t="s">
        <v>31</v>
      </c>
      <c r="B29" s="38">
        <v>48</v>
      </c>
      <c r="C29" s="19" t="s">
        <v>31</v>
      </c>
      <c r="D29" s="18" t="s">
        <v>196</v>
      </c>
      <c r="E29" s="18" t="s">
        <v>83</v>
      </c>
      <c r="F29" s="18" t="s">
        <v>355</v>
      </c>
    </row>
    <row r="30" spans="1:6" x14ac:dyDescent="0.25">
      <c r="A30" s="19" t="s">
        <v>32</v>
      </c>
      <c r="B30" s="38">
        <v>49</v>
      </c>
      <c r="C30" s="19" t="s">
        <v>32</v>
      </c>
      <c r="D30" s="18" t="s">
        <v>188</v>
      </c>
      <c r="E30" s="18" t="s">
        <v>84</v>
      </c>
      <c r="F30" s="18" t="s">
        <v>356</v>
      </c>
    </row>
    <row r="31" spans="1:6" x14ac:dyDescent="0.25">
      <c r="A31" s="19" t="s">
        <v>33</v>
      </c>
      <c r="B31" s="38">
        <v>53</v>
      </c>
      <c r="C31" s="19" t="s">
        <v>33</v>
      </c>
      <c r="D31" s="18" t="s">
        <v>188</v>
      </c>
      <c r="E31" s="18" t="s">
        <v>85</v>
      </c>
      <c r="F31" s="18" t="s">
        <v>357</v>
      </c>
    </row>
    <row r="32" spans="1:6" x14ac:dyDescent="0.25">
      <c r="A32" s="19" t="s">
        <v>35</v>
      </c>
      <c r="B32" s="38">
        <v>57</v>
      </c>
      <c r="C32" s="19" t="s">
        <v>35</v>
      </c>
      <c r="D32" s="18" t="s">
        <v>188</v>
      </c>
      <c r="E32" s="18" t="s">
        <v>87</v>
      </c>
      <c r="F32" s="18" t="s">
        <v>358</v>
      </c>
    </row>
    <row r="33" spans="1:6" x14ac:dyDescent="0.25">
      <c r="A33" s="19" t="s">
        <v>36</v>
      </c>
      <c r="B33" s="38">
        <v>58</v>
      </c>
      <c r="C33" s="19" t="s">
        <v>36</v>
      </c>
      <c r="D33" s="18" t="s">
        <v>189</v>
      </c>
      <c r="E33" s="18" t="s">
        <v>88</v>
      </c>
      <c r="F33" s="18" t="s">
        <v>356</v>
      </c>
    </row>
    <row r="34" spans="1:6" x14ac:dyDescent="0.25">
      <c r="A34" s="19" t="s">
        <v>30</v>
      </c>
      <c r="B34" s="38">
        <v>59</v>
      </c>
      <c r="C34" s="19" t="s">
        <v>30</v>
      </c>
      <c r="D34" s="18" t="s">
        <v>190</v>
      </c>
      <c r="E34" s="18" t="s">
        <v>82</v>
      </c>
      <c r="F34" s="18" t="s">
        <v>359</v>
      </c>
    </row>
    <row r="35" spans="1:6" x14ac:dyDescent="0.25">
      <c r="A35" s="19" t="s">
        <v>27</v>
      </c>
      <c r="B35" s="38">
        <v>64</v>
      </c>
      <c r="C35" s="19" t="s">
        <v>27</v>
      </c>
      <c r="D35" s="18" t="s">
        <v>187</v>
      </c>
      <c r="E35" s="18" t="s">
        <v>79</v>
      </c>
      <c r="F35" s="18" t="s">
        <v>360</v>
      </c>
    </row>
    <row r="36" spans="1:6" x14ac:dyDescent="0.25">
      <c r="A36" s="19" t="s">
        <v>29</v>
      </c>
      <c r="B36" s="38">
        <v>69</v>
      </c>
      <c r="C36" s="19" t="s">
        <v>29</v>
      </c>
      <c r="D36" s="18" t="s">
        <v>188</v>
      </c>
      <c r="E36" s="18" t="s">
        <v>81</v>
      </c>
      <c r="F36" s="18" t="s">
        <v>341</v>
      </c>
    </row>
    <row r="37" spans="1:6" x14ac:dyDescent="0.25">
      <c r="A37" s="19" t="s">
        <v>21</v>
      </c>
      <c r="B37" s="38">
        <v>71</v>
      </c>
      <c r="C37" s="19" t="s">
        <v>21</v>
      </c>
      <c r="D37" s="18" t="s">
        <v>187</v>
      </c>
      <c r="E37" s="18" t="s">
        <v>73</v>
      </c>
      <c r="F37" s="18" t="s">
        <v>361</v>
      </c>
    </row>
    <row r="38" spans="1:6" x14ac:dyDescent="0.25">
      <c r="A38" s="19" t="s">
        <v>41</v>
      </c>
      <c r="B38" s="38">
        <v>72</v>
      </c>
      <c r="C38" s="19" t="s">
        <v>41</v>
      </c>
      <c r="D38" s="18" t="s">
        <v>193</v>
      </c>
      <c r="E38" s="18" t="s">
        <v>93</v>
      </c>
      <c r="F38" s="18" t="s">
        <v>362</v>
      </c>
    </row>
    <row r="39" spans="1:6" x14ac:dyDescent="0.25">
      <c r="A39" s="19" t="s">
        <v>37</v>
      </c>
      <c r="B39" s="38">
        <v>73</v>
      </c>
      <c r="C39" s="19" t="s">
        <v>37</v>
      </c>
      <c r="D39" s="18" t="s">
        <v>193</v>
      </c>
      <c r="E39" s="18" t="s">
        <v>89</v>
      </c>
      <c r="F39" s="18" t="s">
        <v>363</v>
      </c>
    </row>
    <row r="40" spans="1:6" x14ac:dyDescent="0.25">
      <c r="A40" s="19" t="s">
        <v>39</v>
      </c>
      <c r="B40" s="38">
        <v>74</v>
      </c>
      <c r="C40" s="19" t="s">
        <v>39</v>
      </c>
      <c r="D40" s="18" t="s">
        <v>189</v>
      </c>
      <c r="E40" s="18" t="s">
        <v>91</v>
      </c>
      <c r="F40" s="18" t="s">
        <v>364</v>
      </c>
    </row>
    <row r="41" spans="1:6" x14ac:dyDescent="0.25">
      <c r="A41" s="19" t="s">
        <v>42</v>
      </c>
      <c r="B41" s="38">
        <v>75</v>
      </c>
      <c r="C41" s="19" t="s">
        <v>42</v>
      </c>
      <c r="D41" s="18" t="s">
        <v>189</v>
      </c>
      <c r="E41" s="18" t="s">
        <v>94</v>
      </c>
      <c r="F41" s="18" t="s">
        <v>365</v>
      </c>
    </row>
    <row r="42" spans="1:6" x14ac:dyDescent="0.25">
      <c r="A42" s="19" t="s">
        <v>25</v>
      </c>
      <c r="B42" s="38">
        <v>79</v>
      </c>
      <c r="C42" s="19" t="s">
        <v>25</v>
      </c>
      <c r="D42" s="18" t="s">
        <v>187</v>
      </c>
      <c r="E42" s="18" t="s">
        <v>77</v>
      </c>
      <c r="F42" s="18" t="s">
        <v>222</v>
      </c>
    </row>
    <row r="43" spans="1:6" x14ac:dyDescent="0.25">
      <c r="A43" s="19" t="s">
        <v>23</v>
      </c>
      <c r="B43" s="38">
        <v>80</v>
      </c>
      <c r="C43" s="19" t="s">
        <v>23</v>
      </c>
      <c r="D43" s="18" t="s">
        <v>187</v>
      </c>
      <c r="E43" s="18" t="s">
        <v>75</v>
      </c>
      <c r="F43" s="18" t="s">
        <v>366</v>
      </c>
    </row>
    <row r="44" spans="1:6" x14ac:dyDescent="0.25">
      <c r="A44" s="19" t="s">
        <v>47</v>
      </c>
      <c r="B44" s="38">
        <v>82</v>
      </c>
      <c r="C44" s="19" t="s">
        <v>47</v>
      </c>
      <c r="D44" s="18" t="s">
        <v>195</v>
      </c>
      <c r="E44" s="18" t="s">
        <v>99</v>
      </c>
      <c r="F44" s="18" t="s">
        <v>367</v>
      </c>
    </row>
    <row r="45" spans="1:6" x14ac:dyDescent="0.25">
      <c r="A45" s="19" t="s">
        <v>50</v>
      </c>
      <c r="B45" s="38">
        <v>87</v>
      </c>
      <c r="C45" s="19" t="s">
        <v>50</v>
      </c>
      <c r="D45" s="18" t="s">
        <v>190</v>
      </c>
      <c r="E45" s="18" t="s">
        <v>102</v>
      </c>
      <c r="F45" s="18" t="s">
        <v>368</v>
      </c>
    </row>
    <row r="46" spans="1:6" x14ac:dyDescent="0.25">
      <c r="A46" s="19" t="s">
        <v>53</v>
      </c>
      <c r="B46" s="38">
        <v>88</v>
      </c>
      <c r="C46" s="19" t="s">
        <v>53</v>
      </c>
      <c r="D46" s="18" t="s">
        <v>192</v>
      </c>
      <c r="E46" s="18" t="s">
        <v>105</v>
      </c>
      <c r="F46" s="18" t="s">
        <v>369</v>
      </c>
    </row>
    <row r="47" spans="1:6" x14ac:dyDescent="0.25">
      <c r="A47" s="19" t="s">
        <v>49</v>
      </c>
      <c r="B47" s="38">
        <v>89</v>
      </c>
      <c r="C47" s="19" t="s">
        <v>49</v>
      </c>
      <c r="D47" s="18" t="s">
        <v>193</v>
      </c>
      <c r="E47" s="18" t="s">
        <v>101</v>
      </c>
      <c r="F47" s="18" t="s">
        <v>370</v>
      </c>
    </row>
    <row r="48" spans="1:6" x14ac:dyDescent="0.25">
      <c r="A48" s="19" t="s">
        <v>48</v>
      </c>
      <c r="B48" s="38">
        <v>90</v>
      </c>
      <c r="C48" s="19" t="s">
        <v>48</v>
      </c>
      <c r="D48" s="18" t="s">
        <v>196</v>
      </c>
      <c r="E48" s="18" t="s">
        <v>100</v>
      </c>
      <c r="F48" s="18" t="s">
        <v>371</v>
      </c>
    </row>
    <row r="49" spans="1:6" x14ac:dyDescent="0.25">
      <c r="A49" s="19" t="s">
        <v>43</v>
      </c>
      <c r="B49" s="38">
        <v>91</v>
      </c>
      <c r="C49" s="19" t="s">
        <v>43</v>
      </c>
      <c r="D49" s="18" t="s">
        <v>195</v>
      </c>
      <c r="E49" s="18" t="s">
        <v>95</v>
      </c>
      <c r="F49" s="18" t="s">
        <v>372</v>
      </c>
    </row>
    <row r="50" spans="1:6" x14ac:dyDescent="0.25">
      <c r="A50" s="19" t="s">
        <v>44</v>
      </c>
      <c r="B50" s="38">
        <v>92</v>
      </c>
      <c r="C50" s="19" t="s">
        <v>44</v>
      </c>
      <c r="D50" s="18" t="s">
        <v>194</v>
      </c>
      <c r="E50" s="18" t="s">
        <v>96</v>
      </c>
      <c r="F50" s="18" t="s">
        <v>373</v>
      </c>
    </row>
    <row r="51" spans="1:6" x14ac:dyDescent="0.25">
      <c r="A51" s="19" t="s">
        <v>45</v>
      </c>
      <c r="B51" s="38">
        <v>93</v>
      </c>
      <c r="C51" s="19" t="s">
        <v>45</v>
      </c>
      <c r="D51" s="18" t="s">
        <v>190</v>
      </c>
      <c r="E51" s="18" t="s">
        <v>97</v>
      </c>
      <c r="F51" s="18" t="s">
        <v>372</v>
      </c>
    </row>
    <row r="52" spans="1:6" x14ac:dyDescent="0.25">
      <c r="A52" s="19" t="s">
        <v>46</v>
      </c>
      <c r="B52" s="38">
        <v>94</v>
      </c>
      <c r="C52" s="19" t="s">
        <v>46</v>
      </c>
      <c r="D52" s="18" t="s">
        <v>196</v>
      </c>
      <c r="E52" s="18" t="s">
        <v>98</v>
      </c>
      <c r="F52" s="18" t="s">
        <v>342</v>
      </c>
    </row>
    <row r="53" spans="1:6" x14ac:dyDescent="0.25">
      <c r="A53" s="19" t="s">
        <v>51</v>
      </c>
      <c r="B53" s="38">
        <v>95</v>
      </c>
      <c r="C53" s="19" t="s">
        <v>51</v>
      </c>
      <c r="D53" s="18" t="s">
        <v>188</v>
      </c>
      <c r="E53" s="18" t="s">
        <v>103</v>
      </c>
      <c r="F53" s="18" t="s">
        <v>343</v>
      </c>
    </row>
    <row r="54" spans="1:6" x14ac:dyDescent="0.25">
      <c r="A54" s="19" t="s">
        <v>280</v>
      </c>
      <c r="B54" s="38">
        <v>13</v>
      </c>
      <c r="C54" s="19" t="s">
        <v>280</v>
      </c>
      <c r="D54" s="18" t="s">
        <v>188</v>
      </c>
      <c r="E54" s="18" t="s">
        <v>313</v>
      </c>
      <c r="F54" s="18" t="s">
        <v>203</v>
      </c>
    </row>
    <row r="55" spans="1:6" x14ac:dyDescent="0.25">
      <c r="A55" s="19" t="s">
        <v>281</v>
      </c>
      <c r="B55" s="38">
        <v>15</v>
      </c>
      <c r="C55" s="19" t="s">
        <v>281</v>
      </c>
      <c r="D55" s="18" t="s">
        <v>189</v>
      </c>
      <c r="E55" s="18" t="s">
        <v>314</v>
      </c>
      <c r="F55" s="18" t="s">
        <v>204</v>
      </c>
    </row>
    <row r="56" spans="1:6" x14ac:dyDescent="0.25">
      <c r="A56" s="19" t="s">
        <v>282</v>
      </c>
      <c r="B56" s="38">
        <v>72</v>
      </c>
      <c r="C56" s="19" t="s">
        <v>282</v>
      </c>
      <c r="D56" s="18" t="s">
        <v>193</v>
      </c>
      <c r="E56" s="18" t="s">
        <v>315</v>
      </c>
      <c r="F56" s="18" t="s">
        <v>205</v>
      </c>
    </row>
    <row r="57" spans="1:6" x14ac:dyDescent="0.25">
      <c r="A57" s="19" t="s">
        <v>283</v>
      </c>
      <c r="B57" s="38">
        <v>95</v>
      </c>
      <c r="C57" s="19" t="s">
        <v>283</v>
      </c>
      <c r="D57" s="18" t="s">
        <v>188</v>
      </c>
      <c r="E57" s="18" t="s">
        <v>316</v>
      </c>
      <c r="F57" s="18" t="s">
        <v>206</v>
      </c>
    </row>
    <row r="58" spans="1:6" x14ac:dyDescent="0.25">
      <c r="A58" s="19" t="s">
        <v>284</v>
      </c>
      <c r="B58" s="38">
        <v>91</v>
      </c>
      <c r="C58" s="19" t="s">
        <v>284</v>
      </c>
      <c r="D58" s="18" t="s">
        <v>195</v>
      </c>
      <c r="E58" s="18" t="s">
        <v>317</v>
      </c>
      <c r="F58" s="18" t="s">
        <v>207</v>
      </c>
    </row>
    <row r="59" spans="1:6" x14ac:dyDescent="0.25">
      <c r="A59" s="19" t="s">
        <v>285</v>
      </c>
      <c r="B59" s="38">
        <v>20</v>
      </c>
      <c r="C59" s="19" t="s">
        <v>285</v>
      </c>
      <c r="D59" s="18" t="s">
        <v>190</v>
      </c>
      <c r="E59" s="18" t="s">
        <v>318</v>
      </c>
      <c r="F59" s="18" t="s">
        <v>208</v>
      </c>
    </row>
    <row r="60" spans="1:6" x14ac:dyDescent="0.25">
      <c r="A60" s="19" t="s">
        <v>286</v>
      </c>
      <c r="B60" s="38">
        <v>21</v>
      </c>
      <c r="C60" s="19" t="s">
        <v>286</v>
      </c>
      <c r="D60" s="18" t="s">
        <v>192</v>
      </c>
      <c r="E60" s="18" t="s">
        <v>319</v>
      </c>
      <c r="F60" s="18" t="s">
        <v>209</v>
      </c>
    </row>
    <row r="61" spans="1:6" x14ac:dyDescent="0.25">
      <c r="A61" s="19" t="s">
        <v>287</v>
      </c>
      <c r="B61" s="38">
        <v>90</v>
      </c>
      <c r="C61" s="19" t="s">
        <v>287</v>
      </c>
      <c r="D61" s="18" t="s">
        <v>196</v>
      </c>
      <c r="E61" s="18" t="s">
        <v>320</v>
      </c>
      <c r="F61" s="18" t="s">
        <v>210</v>
      </c>
    </row>
    <row r="62" spans="1:6" x14ac:dyDescent="0.25">
      <c r="A62" s="19" t="s">
        <v>288</v>
      </c>
      <c r="B62" s="38">
        <v>23</v>
      </c>
      <c r="C62" s="19" t="s">
        <v>288</v>
      </c>
      <c r="D62" s="18" t="s">
        <v>193</v>
      </c>
      <c r="E62" s="18" t="s">
        <v>321</v>
      </c>
      <c r="F62" s="18" t="s">
        <v>211</v>
      </c>
    </row>
    <row r="63" spans="1:6" x14ac:dyDescent="0.25">
      <c r="A63" s="19" t="s">
        <v>289</v>
      </c>
      <c r="B63" s="38">
        <v>24</v>
      </c>
      <c r="C63" s="19" t="s">
        <v>289</v>
      </c>
      <c r="D63" s="18" t="s">
        <v>194</v>
      </c>
      <c r="E63" s="18" t="s">
        <v>322</v>
      </c>
      <c r="F63" s="18" t="s">
        <v>212</v>
      </c>
    </row>
    <row r="64" spans="1:6" x14ac:dyDescent="0.25">
      <c r="A64" s="19" t="s">
        <v>290</v>
      </c>
      <c r="B64" s="38">
        <v>92</v>
      </c>
      <c r="C64" s="19" t="s">
        <v>290</v>
      </c>
      <c r="D64" s="18" t="s">
        <v>194</v>
      </c>
      <c r="E64" s="18" t="s">
        <v>323</v>
      </c>
      <c r="F64" s="18" t="s">
        <v>213</v>
      </c>
    </row>
    <row r="65" spans="1:6" x14ac:dyDescent="0.25">
      <c r="A65" s="19" t="s">
        <v>291</v>
      </c>
      <c r="B65" s="38">
        <v>28</v>
      </c>
      <c r="C65" s="19" t="s">
        <v>291</v>
      </c>
      <c r="D65" s="18" t="s">
        <v>188</v>
      </c>
      <c r="E65" s="18" t="s">
        <v>324</v>
      </c>
      <c r="F65" s="18" t="s">
        <v>214</v>
      </c>
    </row>
    <row r="66" spans="1:6" x14ac:dyDescent="0.25">
      <c r="A66" s="19" t="s">
        <v>292</v>
      </c>
      <c r="B66" s="38">
        <v>27</v>
      </c>
      <c r="C66" s="19" t="s">
        <v>292</v>
      </c>
      <c r="D66" s="18" t="s">
        <v>193</v>
      </c>
      <c r="E66" s="18" t="s">
        <v>325</v>
      </c>
      <c r="F66" s="18" t="s">
        <v>215</v>
      </c>
    </row>
    <row r="67" spans="1:6" x14ac:dyDescent="0.25">
      <c r="A67" s="19" t="s">
        <v>293</v>
      </c>
      <c r="B67" s="38">
        <v>29</v>
      </c>
      <c r="C67" s="19" t="s">
        <v>293</v>
      </c>
      <c r="D67" s="18" t="s">
        <v>192</v>
      </c>
      <c r="E67" s="18" t="s">
        <v>326</v>
      </c>
      <c r="F67" s="18" t="s">
        <v>216</v>
      </c>
    </row>
    <row r="68" spans="1:6" x14ac:dyDescent="0.25">
      <c r="A68" s="19" t="s">
        <v>294</v>
      </c>
      <c r="B68" s="38">
        <v>89</v>
      </c>
      <c r="C68" s="19" t="s">
        <v>294</v>
      </c>
      <c r="D68" s="18" t="s">
        <v>193</v>
      </c>
      <c r="E68" s="18" t="s">
        <v>327</v>
      </c>
      <c r="F68" s="18" t="s">
        <v>217</v>
      </c>
    </row>
    <row r="69" spans="1:6" x14ac:dyDescent="0.25">
      <c r="A69" s="19" t="s">
        <v>295</v>
      </c>
      <c r="B69" s="38">
        <v>94</v>
      </c>
      <c r="C69" s="19" t="s">
        <v>295</v>
      </c>
      <c r="D69" s="18" t="s">
        <v>196</v>
      </c>
      <c r="E69" s="18" t="s">
        <v>328</v>
      </c>
      <c r="F69" s="18" t="s">
        <v>218</v>
      </c>
    </row>
    <row r="70" spans="1:6" x14ac:dyDescent="0.25">
      <c r="A70" s="19" t="s">
        <v>296</v>
      </c>
      <c r="B70" s="38">
        <v>75</v>
      </c>
      <c r="C70" s="19" t="s">
        <v>296</v>
      </c>
      <c r="D70" s="18" t="s">
        <v>189</v>
      </c>
      <c r="E70" s="18" t="s">
        <v>329</v>
      </c>
      <c r="F70" s="18" t="s">
        <v>219</v>
      </c>
    </row>
    <row r="71" spans="1:6" x14ac:dyDescent="0.25">
      <c r="A71" s="19" t="s">
        <v>297</v>
      </c>
      <c r="B71" s="38">
        <v>34</v>
      </c>
      <c r="C71" s="19" t="s">
        <v>297</v>
      </c>
      <c r="D71" s="18" t="s">
        <v>190</v>
      </c>
      <c r="E71" s="18" t="s">
        <v>330</v>
      </c>
      <c r="F71" s="18" t="s">
        <v>220</v>
      </c>
    </row>
    <row r="72" spans="1:6" x14ac:dyDescent="0.25">
      <c r="A72" s="19" t="s">
        <v>298</v>
      </c>
      <c r="B72" s="38">
        <v>35</v>
      </c>
      <c r="C72" s="19" t="s">
        <v>298</v>
      </c>
      <c r="D72" s="18" t="s">
        <v>195</v>
      </c>
      <c r="E72" s="18" t="s">
        <v>331</v>
      </c>
      <c r="F72" s="18" t="s">
        <v>221</v>
      </c>
    </row>
    <row r="73" spans="1:6" x14ac:dyDescent="0.25">
      <c r="A73" s="19" t="s">
        <v>299</v>
      </c>
      <c r="B73" s="38">
        <v>38</v>
      </c>
      <c r="C73" s="19" t="s">
        <v>299</v>
      </c>
      <c r="D73" s="18" t="s">
        <v>188</v>
      </c>
      <c r="E73" s="18" t="s">
        <v>332</v>
      </c>
      <c r="F73" s="18" t="s">
        <v>222</v>
      </c>
    </row>
    <row r="74" spans="1:6" x14ac:dyDescent="0.25">
      <c r="A74" s="19" t="s">
        <v>300</v>
      </c>
      <c r="B74" s="38">
        <v>39</v>
      </c>
      <c r="C74" s="19" t="s">
        <v>300</v>
      </c>
      <c r="D74" s="18" t="s">
        <v>193</v>
      </c>
      <c r="E74" s="18" t="s">
        <v>333</v>
      </c>
      <c r="F74" s="18" t="s">
        <v>223</v>
      </c>
    </row>
    <row r="75" spans="1:6" x14ac:dyDescent="0.25">
      <c r="A75" s="19" t="s">
        <v>301</v>
      </c>
      <c r="B75" s="38">
        <v>87</v>
      </c>
      <c r="C75" s="19" t="s">
        <v>301</v>
      </c>
      <c r="D75" s="18" t="s">
        <v>190</v>
      </c>
      <c r="E75" s="18" t="s">
        <v>334</v>
      </c>
      <c r="F75" s="18" t="s">
        <v>224</v>
      </c>
    </row>
    <row r="76" spans="1:6" x14ac:dyDescent="0.25">
      <c r="A76" s="19" t="s">
        <v>302</v>
      </c>
      <c r="B76" s="38">
        <v>44</v>
      </c>
      <c r="C76" s="19" t="s">
        <v>302</v>
      </c>
      <c r="D76" s="18" t="s">
        <v>192</v>
      </c>
      <c r="E76" s="18" t="s">
        <v>335</v>
      </c>
      <c r="F76" s="18" t="s">
        <v>225</v>
      </c>
    </row>
    <row r="77" spans="1:6" x14ac:dyDescent="0.25">
      <c r="A77" s="19" t="s">
        <v>303</v>
      </c>
      <c r="B77" s="38">
        <v>42</v>
      </c>
      <c r="C77" s="19" t="s">
        <v>303</v>
      </c>
      <c r="D77" s="18" t="s">
        <v>194</v>
      </c>
      <c r="E77" s="18" t="s">
        <v>336</v>
      </c>
      <c r="F77" s="18" t="s">
        <v>226</v>
      </c>
    </row>
    <row r="78" spans="1:6" x14ac:dyDescent="0.25">
      <c r="A78" s="19" t="s">
        <v>304</v>
      </c>
      <c r="B78" s="38">
        <v>7</v>
      </c>
      <c r="C78" s="19" t="s">
        <v>304</v>
      </c>
      <c r="D78" s="18" t="s">
        <v>188</v>
      </c>
      <c r="E78" s="18" t="s">
        <v>337</v>
      </c>
      <c r="F78" s="18" t="s">
        <v>202</v>
      </c>
    </row>
    <row r="79" spans="1:6" x14ac:dyDescent="0.25">
      <c r="A79" s="19" t="s">
        <v>305</v>
      </c>
      <c r="B79" s="38">
        <v>65</v>
      </c>
      <c r="C79" s="19" t="s">
        <v>305</v>
      </c>
      <c r="D79" s="18" t="s">
        <v>194</v>
      </c>
      <c r="E79" s="18" t="s">
        <v>231</v>
      </c>
      <c r="F79" s="18" t="s">
        <v>232</v>
      </c>
    </row>
    <row r="80" spans="1:6" x14ac:dyDescent="0.25">
      <c r="A80" s="19" t="s">
        <v>306</v>
      </c>
      <c r="B80" s="38">
        <v>67</v>
      </c>
      <c r="C80" s="19" t="s">
        <v>306</v>
      </c>
      <c r="D80" s="18" t="s">
        <v>193</v>
      </c>
      <c r="E80" s="18" t="s">
        <v>338</v>
      </c>
      <c r="F80" s="18" t="s">
        <v>233</v>
      </c>
    </row>
    <row r="81" spans="1:6" x14ac:dyDescent="0.25">
      <c r="A81" s="19" t="s">
        <v>307</v>
      </c>
      <c r="B81" s="38">
        <v>81</v>
      </c>
      <c r="C81" s="19" t="s">
        <v>307</v>
      </c>
      <c r="D81" s="18" t="s">
        <v>192</v>
      </c>
      <c r="E81" s="18" t="s">
        <v>339</v>
      </c>
      <c r="F81" s="18" t="s">
        <v>234</v>
      </c>
    </row>
    <row r="82" spans="1:6" x14ac:dyDescent="0.25">
      <c r="A82" s="19" t="s">
        <v>308</v>
      </c>
      <c r="B82" s="38">
        <v>85</v>
      </c>
      <c r="C82" s="19" t="s">
        <v>308</v>
      </c>
      <c r="D82" s="18" t="s">
        <v>190</v>
      </c>
      <c r="E82" s="18" t="s">
        <v>229</v>
      </c>
      <c r="F82" s="18" t="s">
        <v>230</v>
      </c>
    </row>
    <row r="83" spans="1:6" x14ac:dyDescent="0.25">
      <c r="A83" s="19" t="s">
        <v>309</v>
      </c>
      <c r="B83" s="38">
        <v>84</v>
      </c>
      <c r="C83" s="19" t="s">
        <v>309</v>
      </c>
      <c r="D83" s="18" t="s">
        <v>192</v>
      </c>
      <c r="E83" s="18" t="s">
        <v>227</v>
      </c>
      <c r="F83" s="18" t="s">
        <v>228</v>
      </c>
    </row>
    <row r="84" spans="1:6" x14ac:dyDescent="0.25">
      <c r="A84" s="19" t="s">
        <v>340</v>
      </c>
      <c r="B84" s="38">
        <v>26</v>
      </c>
      <c r="C84" s="19" t="s">
        <v>340</v>
      </c>
      <c r="D84" s="18" t="s">
        <v>188</v>
      </c>
      <c r="E84" s="18" t="s">
        <v>235</v>
      </c>
      <c r="F84" s="18" t="s">
        <v>236</v>
      </c>
    </row>
    <row r="85" spans="1:6" x14ac:dyDescent="0.25">
      <c r="A85" s="19" t="s">
        <v>310</v>
      </c>
      <c r="B85" s="38">
        <v>86</v>
      </c>
      <c r="C85" s="19" t="s">
        <v>310</v>
      </c>
      <c r="D85" s="18" t="s">
        <v>195</v>
      </c>
      <c r="E85" s="18" t="s">
        <v>237</v>
      </c>
      <c r="F85" s="18" t="s">
        <v>238</v>
      </c>
    </row>
    <row r="86" spans="1:6" x14ac:dyDescent="0.25">
      <c r="A86" s="19" t="s">
        <v>311</v>
      </c>
      <c r="B86" s="38">
        <v>68</v>
      </c>
      <c r="C86" s="19" t="s">
        <v>311</v>
      </c>
      <c r="D86" s="18" t="s">
        <v>189</v>
      </c>
      <c r="E86" s="18" t="s">
        <v>239</v>
      </c>
      <c r="F86" s="18" t="s">
        <v>240</v>
      </c>
    </row>
    <row r="87" spans="1:6" x14ac:dyDescent="0.25">
      <c r="A87" s="19" t="s">
        <v>312</v>
      </c>
      <c r="B87" s="38">
        <v>66</v>
      </c>
      <c r="C87" s="19" t="s">
        <v>312</v>
      </c>
      <c r="D87" s="18" t="s">
        <v>196</v>
      </c>
      <c r="E87" s="18" t="s">
        <v>241</v>
      </c>
      <c r="F87" s="18" t="s">
        <v>242</v>
      </c>
    </row>
    <row r="88" spans="1:6" x14ac:dyDescent="0.25">
      <c r="A88" s="19" t="s">
        <v>28</v>
      </c>
      <c r="B88" s="38">
        <v>96</v>
      </c>
      <c r="C88" s="19" t="s">
        <v>28</v>
      </c>
      <c r="D88" s="18" t="s">
        <v>188</v>
      </c>
      <c r="E88" s="18" t="s">
        <v>80</v>
      </c>
      <c r="F88" s="18" t="s">
        <v>279</v>
      </c>
    </row>
    <row r="89" spans="1:6" x14ac:dyDescent="0.25">
      <c r="A89" s="46"/>
    </row>
  </sheetData>
  <sheetProtection algorithmName="SHA-512" hashValue="cvdGMFj5PApCjcKhjPXIcfl5Z1vB8WAdbolKgiQTj1Mh8zSaLvgr5Ao05yCubXJjfVHQJfq4aaYpN6fe235P7A==" saltValue="SmxOjhqhi0KeHktRhIIl6g==" spinCount="100000" sheet="1" objects="1" scenarios="1"/>
  <sortState ref="B2:E55">
    <sortCondition ref="B1"/>
  </sortState>
  <hyperlinks>
    <hyperlink ref="C7" location="DIRAF!A1" display="DIRAF" xr:uid="{00000000-0004-0000-0300-000000000000}"/>
    <hyperlink ref="C12" location="DEAMA!A1" display="DEAMA" xr:uid="{00000000-0004-0000-0300-000001000000}"/>
    <hyperlink ref="C13" location="DEARA!A1" display="DEARA" xr:uid="{00000000-0004-0000-0300-000002000000}"/>
    <hyperlink ref="C14" location="DECAQ!A1" display="DECAQ" xr:uid="{00000000-0004-0000-0300-000003000000}"/>
    <hyperlink ref="C15" location="DECAS!A1" display="DECAS" xr:uid="{00000000-0004-0000-0300-000004000000}"/>
    <hyperlink ref="C16" location="DECES!A1" display="DECES" xr:uid="{00000000-0004-0000-0300-000005000000}"/>
    <hyperlink ref="C17" location="DECHO!A1" display="DECHO" xr:uid="{00000000-0004-0000-0300-000006000000}"/>
    <hyperlink ref="C18" location="DECUN!A1" display="DECUN" xr:uid="{00000000-0004-0000-0300-000007000000}"/>
    <hyperlink ref="C19" location="DEGUA!A1" display="DEGUA" xr:uid="{00000000-0004-0000-0300-000008000000}"/>
    <hyperlink ref="C20" location="DEGUN!A1" display="DEGUN" xr:uid="{00000000-0004-0000-0300-000009000000}"/>
    <hyperlink ref="C21" location="DEGUV!A1" display="DEGUV" xr:uid="{00000000-0004-0000-0300-00000A000000}"/>
    <hyperlink ref="C22" location="DEPUY!A1" display="DEPUY" xr:uid="{00000000-0004-0000-0300-00000B000000}"/>
    <hyperlink ref="C23" location="DEQUI!A1" display="DEQUI" xr:uid="{00000000-0004-0000-0300-00000C000000}"/>
    <hyperlink ref="C24" location="DESAP!A1" display="DESAP" xr:uid="{00000000-0004-0000-0300-00000D000000}"/>
    <hyperlink ref="C25" location="DESUC!A1" display="DESUC" xr:uid="{00000000-0004-0000-0300-00000E000000}"/>
    <hyperlink ref="C26" location="DEURA!A1" display="DEURA" xr:uid="{00000000-0004-0000-0300-00000F000000}"/>
    <hyperlink ref="C27" location="DEVIC!A1" display="DEVIC" xr:uid="{00000000-0004-0000-0300-000010000000}"/>
    <hyperlink ref="C6" location="DIASE!A1" display="DIASE" xr:uid="{00000000-0004-0000-0300-000011000000}"/>
    <hyperlink ref="C8" location="DIBIE!A1" display="DIBIE" xr:uid="{00000000-0004-0000-0300-000012000000}"/>
    <hyperlink ref="C37" location="DICAR!A1" display="DICAR" xr:uid="{00000000-0004-0000-0300-000013000000}"/>
    <hyperlink ref="C4" location="DIJIN!A1" display="DIJIN" xr:uid="{00000000-0004-0000-0300-000014000000}"/>
    <hyperlink ref="C43" location="DINAE!A1" display="DINAE" xr:uid="{00000000-0004-0000-0300-000015000000}"/>
    <hyperlink ref="C5" location="DIPOL!A1" display="DIPOL" xr:uid="{00000000-0004-0000-0300-000016000000}"/>
    <hyperlink ref="C42" location="DIPRO!A1" display="DIPRO" xr:uid="{00000000-0004-0000-0300-000017000000}"/>
    <hyperlink ref="C3" location="DIRAN!A1" display="DIRAN" xr:uid="{00000000-0004-0000-0300-000018000000}"/>
    <hyperlink ref="C35" location="DITRA!A1" display="DITRA" xr:uid="{00000000-0004-0000-0300-000019000000}"/>
    <hyperlink ref="C36" location="ECSAN!A1" display="ECSAN" xr:uid="{00000000-0004-0000-0300-00001A000000}"/>
    <hyperlink ref="C34" location="ESAVI!A1" display="ESAVI" xr:uid="{00000000-0004-0000-0300-00001B000000}"/>
    <hyperlink ref="C29" location="ESBOL!A1" display="ESBOL" xr:uid="{00000000-0004-0000-0300-00001C000000}"/>
    <hyperlink ref="C30" location="ESCAR!A1" display="ESCAR" xr:uid="{00000000-0004-0000-0300-00001D000000}"/>
    <hyperlink ref="C31" location="ESJIM!A1" display="ESJIM" xr:uid="{00000000-0004-0000-0300-00001E000000}"/>
    <hyperlink ref="C28" location="ESPOL!A1" display="ESPOL" xr:uid="{00000000-0004-0000-0300-00001F000000}"/>
    <hyperlink ref="C32" location="ESSUM!A1" display="ESSUM" xr:uid="{00000000-0004-0000-0300-000020000000}"/>
    <hyperlink ref="C33" location="ESVEL!A1" display="ESVEL" xr:uid="{00000000-0004-0000-0300-000021000000}"/>
    <hyperlink ref="C39" location="MEBAR!A1" display="MEBAR" xr:uid="{00000000-0004-0000-0300-000022000000}"/>
    <hyperlink ref="C9" location="MEBOG!A1" display="MEBOG" xr:uid="{00000000-0004-0000-0300-000023000000}"/>
    <hyperlink ref="C40" location="MEBUC!A1" display="MEBUC" xr:uid="{00000000-0004-0000-0300-000024000000}"/>
    <hyperlink ref="C10" location="MECAL!A1" display="MECAL" xr:uid="{00000000-0004-0000-0300-000025000000}"/>
    <hyperlink ref="C38" location="MECAR!A1" display="MECAR" xr:uid="{00000000-0004-0000-0300-000026000000}"/>
    <hyperlink ref="C41" location="MECUC!A1" display="MECUC" xr:uid="{00000000-0004-0000-0300-000027000000}"/>
    <hyperlink ref="C49" location="MEMAZ!A1" display="MEMAZ" xr:uid="{00000000-0004-0000-0300-000028000000}"/>
    <hyperlink ref="C50" location="MEMOT!A1" display="MEMOT" xr:uid="{00000000-0004-0000-0300-000029000000}"/>
    <hyperlink ref="C51" location="MENEV!A1" display="MENEV" xr:uid="{00000000-0004-0000-0300-00002A000000}"/>
    <hyperlink ref="C52" location="MEPAS!A1" display="MEPAS" xr:uid="{00000000-0004-0000-0300-00002B000000}"/>
    <hyperlink ref="C44" location="MEPER!A1" display="MEPER" xr:uid="{00000000-0004-0000-0300-00002C000000}"/>
    <hyperlink ref="C47" location="MESAN!A1" display="MESAN" xr:uid="{00000000-0004-0000-0300-00002D000000}"/>
    <hyperlink ref="C45" location="METIB!A1" display="METIB" xr:uid="{00000000-0004-0000-0300-00002E000000}"/>
    <hyperlink ref="C53" location="METUN!A1" display="METUN" xr:uid="{00000000-0004-0000-0300-00002F000000}"/>
    <hyperlink ref="C11" location="MEVAL!A1" display="MEVAL" xr:uid="{00000000-0004-0000-0300-000030000000}"/>
    <hyperlink ref="C46" location="MEVIL!A1" display="MEVIL" xr:uid="{00000000-0004-0000-0300-000031000000}"/>
    <hyperlink ref="C48" location="MEPOY!A1" display="MEPOY" xr:uid="{00000000-0004-0000-0300-000032000000}"/>
    <hyperlink ref="A7" location="DIRAF!A1" display="DIRAF" xr:uid="{00000000-0004-0000-0300-000033000000}"/>
    <hyperlink ref="A12" location="DEAMA!A1" display="DEAMA" xr:uid="{00000000-0004-0000-0300-000034000000}"/>
    <hyperlink ref="A13" location="DEARA!A1" display="DEARA" xr:uid="{00000000-0004-0000-0300-000035000000}"/>
    <hyperlink ref="A14" location="DECAQ!A1" display="DECAQ" xr:uid="{00000000-0004-0000-0300-000036000000}"/>
    <hyperlink ref="A15" location="DECAS!A1" display="DECAS" xr:uid="{00000000-0004-0000-0300-000037000000}"/>
    <hyperlink ref="A16" location="DECES!A1" display="DECES" xr:uid="{00000000-0004-0000-0300-000038000000}"/>
    <hyperlink ref="A17" location="DECHO!A1" display="DECHO" xr:uid="{00000000-0004-0000-0300-000039000000}"/>
    <hyperlink ref="A18" location="DECUN!A1" display="DECUN" xr:uid="{00000000-0004-0000-0300-00003A000000}"/>
    <hyperlink ref="A19" location="DEGUA!A1" display="DEGUA" xr:uid="{00000000-0004-0000-0300-00003B000000}"/>
    <hyperlink ref="A20" location="DEGUN!A1" display="DEGUN" xr:uid="{00000000-0004-0000-0300-00003C000000}"/>
    <hyperlink ref="A21" location="DEGUV!A1" display="DEGUV" xr:uid="{00000000-0004-0000-0300-00003D000000}"/>
    <hyperlink ref="A22" location="DEPUY!A1" display="DEPUY" xr:uid="{00000000-0004-0000-0300-00003E000000}"/>
    <hyperlink ref="A23" location="DEQUI!A1" display="DEQUI" xr:uid="{00000000-0004-0000-0300-00003F000000}"/>
    <hyperlink ref="A24" location="DESAP!A1" display="DESAP" xr:uid="{00000000-0004-0000-0300-000040000000}"/>
    <hyperlink ref="A25" location="DESUC!A1" display="DESUC" xr:uid="{00000000-0004-0000-0300-000041000000}"/>
    <hyperlink ref="A26" location="DEURA!A1" display="DEURA" xr:uid="{00000000-0004-0000-0300-000042000000}"/>
    <hyperlink ref="A27" location="DEVIC!A1" display="DEVIC" xr:uid="{00000000-0004-0000-0300-000043000000}"/>
    <hyperlink ref="A6" location="DIASE!A1" display="DIASE" xr:uid="{00000000-0004-0000-0300-000044000000}"/>
    <hyperlink ref="A8" location="DIBIE!A1" display="DIBIE" xr:uid="{00000000-0004-0000-0300-000045000000}"/>
    <hyperlink ref="A37" location="DICAR!A1" display="DICAR" xr:uid="{00000000-0004-0000-0300-000046000000}"/>
    <hyperlink ref="A4" location="DIJIN!A1" display="DIJIN" xr:uid="{00000000-0004-0000-0300-000047000000}"/>
    <hyperlink ref="A43" location="DINAE!A1" display="DINAE" xr:uid="{00000000-0004-0000-0300-000048000000}"/>
    <hyperlink ref="A5" location="DIPOL!A1" display="DIPOL" xr:uid="{00000000-0004-0000-0300-000049000000}"/>
    <hyperlink ref="A42" location="DIPRO!A1" display="DIPRO" xr:uid="{00000000-0004-0000-0300-00004A000000}"/>
    <hyperlink ref="A3" location="DIRAN!A1" display="DIRAN" xr:uid="{00000000-0004-0000-0300-00004B000000}"/>
    <hyperlink ref="A35" location="DITRA!A1" display="DITRA" xr:uid="{00000000-0004-0000-0300-00004C000000}"/>
    <hyperlink ref="A36" location="ECSAN!A1" display="ECSAN" xr:uid="{00000000-0004-0000-0300-00004D000000}"/>
    <hyperlink ref="A34" location="ESAVI!A1" display="ESAVI" xr:uid="{00000000-0004-0000-0300-00004E000000}"/>
    <hyperlink ref="A29" location="ESBOL!A1" display="ESBOL" xr:uid="{00000000-0004-0000-0300-00004F000000}"/>
    <hyperlink ref="A30" location="ESCAR!A1" display="ESCAR" xr:uid="{00000000-0004-0000-0300-000050000000}"/>
    <hyperlink ref="A31" location="ESJIM!A1" display="ESJIM" xr:uid="{00000000-0004-0000-0300-000051000000}"/>
    <hyperlink ref="A28" location="ESPOL!A1" display="ESPOL" xr:uid="{00000000-0004-0000-0300-000052000000}"/>
    <hyperlink ref="A32" location="ESSUM!A1" display="ESSUM" xr:uid="{00000000-0004-0000-0300-000053000000}"/>
    <hyperlink ref="A33" location="ESVEL!A1" display="ESVEL" xr:uid="{00000000-0004-0000-0300-000054000000}"/>
    <hyperlink ref="A39" location="MEBAR!A1" display="MEBAR" xr:uid="{00000000-0004-0000-0300-000055000000}"/>
    <hyperlink ref="A9" location="MEBOG!A1" display="MEBOG" xr:uid="{00000000-0004-0000-0300-000056000000}"/>
    <hyperlink ref="A40" location="MEBUC!A1" display="MEBUC" xr:uid="{00000000-0004-0000-0300-000057000000}"/>
    <hyperlink ref="A10" location="MECAL!A1" display="MECAL" xr:uid="{00000000-0004-0000-0300-000058000000}"/>
    <hyperlink ref="A38" location="MECAR!A1" display="MECAR" xr:uid="{00000000-0004-0000-0300-000059000000}"/>
    <hyperlink ref="A41" location="MECUC!A1" display="MECUC" xr:uid="{00000000-0004-0000-0300-00005A000000}"/>
    <hyperlink ref="A49" location="MEMAZ!A1" display="MEMAZ" xr:uid="{00000000-0004-0000-0300-00005B000000}"/>
    <hyperlink ref="A50" location="MEMOT!A1" display="MEMOT" xr:uid="{00000000-0004-0000-0300-00005C000000}"/>
    <hyperlink ref="A51" location="MENEV!A1" display="MENEV" xr:uid="{00000000-0004-0000-0300-00005D000000}"/>
    <hyperlink ref="A52" location="MEPAS!A1" display="MEPAS" xr:uid="{00000000-0004-0000-0300-00005E000000}"/>
    <hyperlink ref="A44" location="MEPER!A1" display="MEPER" xr:uid="{00000000-0004-0000-0300-00005F000000}"/>
    <hyperlink ref="A47" location="MESAN!A1" display="MESAN" xr:uid="{00000000-0004-0000-0300-000060000000}"/>
    <hyperlink ref="A45" location="METIB!A1" display="METIB" xr:uid="{00000000-0004-0000-0300-000061000000}"/>
    <hyperlink ref="A53" location="METUN!A1" display="METUN" xr:uid="{00000000-0004-0000-0300-000062000000}"/>
    <hyperlink ref="A11" location="MEVAL!A1" display="MEVAL" xr:uid="{00000000-0004-0000-0300-000063000000}"/>
    <hyperlink ref="A46" location="MEVIL!A1" display="MEVIL" xr:uid="{00000000-0004-0000-0300-000064000000}"/>
    <hyperlink ref="A48" location="MEPOY!A1" display="MEPOY" xr:uid="{00000000-0004-0000-0300-000065000000}"/>
  </hyperlinks>
  <pageMargins left="0.7" right="0.7" top="0.75" bottom="0.75" header="0.3" footer="0.3"/>
  <pageSetup orientation="portrait" verticalDpi="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GENERAL</vt:lpstr>
      <vt:lpstr>FICHA PRESEN</vt:lpstr>
      <vt:lpstr>CONVENCIONES</vt:lpstr>
      <vt:lpstr>UNIDADES</vt:lpstr>
      <vt:lpstr>UNIDADES!_FilterDatabase</vt:lpstr>
      <vt:lpstr>'FICHA PRESEN'!Área_de_impresión</vt:lpstr>
      <vt:lpstr>UNIDADES!Área_de_impresión</vt:lpstr>
      <vt:lpstr>'FICHA PRESEN'!Títulos_a_imprimir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DIRAF - YULESBY HERNANDEZ CANTILLO</dc:creator>
  <cp:lastModifiedBy>DECAS - MONICA ANDREA AVILA ALFONSO</cp:lastModifiedBy>
  <cp:lastPrinted>2018-05-02T15:38:13Z</cp:lastPrinted>
  <dcterms:created xsi:type="dcterms:W3CDTF">2018-04-27T15:58:59Z</dcterms:created>
  <dcterms:modified xsi:type="dcterms:W3CDTF">2020-01-16T13:33:48Z</dcterms:modified>
</cp:coreProperties>
</file>