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carolina.cuervo\Documents\"/>
    </mc:Choice>
  </mc:AlternateContent>
  <xr:revisionPtr revIDLastSave="0" documentId="13_ncr:1_{5BCA036A-6B4E-417B-AF87-37706959B73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" sheetId="4" r:id="rId1"/>
    <sheet name="FICHA PRESEN" sheetId="2" r:id="rId2"/>
    <sheet name="CONVENCIONES" sheetId="6" r:id="rId3"/>
    <sheet name="UNIDADES" sheetId="1" r:id="rId4"/>
  </sheets>
  <definedNames>
    <definedName name="_xlnm._FilterDatabase" localSheetId="0" hidden="1">GENERAL!$A$1:$AU$68</definedName>
    <definedName name="_xlnm._FilterDatabase" localSheetId="3">UNIDADES!$E$1:$E$53</definedName>
    <definedName name="_xlnm.Print_Area" localSheetId="1">'FICHA PRESEN'!$A$1:$G$49</definedName>
    <definedName name="_xlnm.Print_Area" localSheetId="3">UNIDADES!$C$1:$C$53</definedName>
    <definedName name="_xlnm.Print_Titles" localSheetId="1">'FICHA PRESEN'!$1:$4</definedName>
  </definedName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68" i="4" l="1"/>
  <c r="AM67" i="4"/>
  <c r="AM66" i="4"/>
  <c r="AM65" i="4"/>
  <c r="AM64" i="4"/>
  <c r="AM63" i="4"/>
  <c r="AM62" i="4"/>
  <c r="AM61" i="4"/>
  <c r="AM60" i="4"/>
  <c r="AM59" i="4"/>
  <c r="AM58" i="4"/>
  <c r="AM57" i="4"/>
  <c r="AM56" i="4"/>
  <c r="AM55" i="4"/>
  <c r="AM54" i="4"/>
  <c r="AB54" i="4" s="1"/>
  <c r="AM53" i="4"/>
  <c r="AM52" i="4"/>
  <c r="AM51" i="4"/>
  <c r="AM50" i="4"/>
  <c r="AM49" i="4"/>
  <c r="AM48" i="4"/>
  <c r="AM47" i="4"/>
  <c r="AM46" i="4"/>
  <c r="AM45" i="4"/>
  <c r="AB45" i="4" s="1"/>
  <c r="AM44" i="4"/>
  <c r="AM43" i="4"/>
  <c r="AB43" i="4" s="1"/>
  <c r="AM42" i="4"/>
  <c r="AB42" i="4" s="1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M4" i="4"/>
  <c r="AM3" i="4"/>
  <c r="AB49" i="4"/>
  <c r="AB48" i="4"/>
  <c r="AB41" i="4"/>
  <c r="AB40" i="4"/>
  <c r="AB39" i="4"/>
  <c r="AB34" i="4"/>
  <c r="AS59" i="4" l="1"/>
  <c r="AT59" i="4" s="1"/>
  <c r="AS57" i="4" l="1"/>
  <c r="AS31" i="4"/>
  <c r="AS32" i="4"/>
  <c r="AS53" i="4"/>
  <c r="AS52" i="4"/>
  <c r="AT52" i="4" s="1"/>
  <c r="AS51" i="4"/>
  <c r="AS50" i="4"/>
  <c r="AS38" i="4"/>
  <c r="AS37" i="4"/>
  <c r="AS48" i="4"/>
  <c r="AS47" i="4" l="1"/>
  <c r="AS46" i="4"/>
  <c r="AS44" i="4"/>
  <c r="AS41" i="4"/>
  <c r="AS40" i="4"/>
  <c r="AT31" i="4"/>
  <c r="AS24" i="4"/>
  <c r="F51" i="4" l="1"/>
  <c r="E51" i="4"/>
  <c r="D51" i="4"/>
  <c r="C51" i="4"/>
  <c r="AT48" i="4" l="1"/>
  <c r="AS45" i="4"/>
  <c r="AT41" i="4" l="1"/>
  <c r="AT47" i="4"/>
  <c r="AS29" i="4"/>
  <c r="AT40" i="4" l="1"/>
  <c r="AT35" i="4"/>
  <c r="AT32" i="4"/>
  <c r="AS28" i="4"/>
  <c r="J47" i="4" l="1"/>
  <c r="AS25" i="4" l="1"/>
  <c r="F42" i="4" l="1"/>
  <c r="E42" i="4"/>
  <c r="D42" i="4"/>
  <c r="C42" i="4"/>
  <c r="C43" i="4"/>
  <c r="D43" i="4"/>
  <c r="E43" i="4"/>
  <c r="F43" i="4"/>
  <c r="AT45" i="4" l="1"/>
  <c r="F45" i="4"/>
  <c r="E45" i="4"/>
  <c r="D45" i="4"/>
  <c r="C45" i="4"/>
  <c r="L41" i="4" l="1"/>
  <c r="J40" i="4"/>
  <c r="L40" i="4" s="1"/>
  <c r="C40" i="4"/>
  <c r="D40" i="4"/>
  <c r="E40" i="4"/>
  <c r="F40" i="4"/>
  <c r="C41" i="4"/>
  <c r="D41" i="4"/>
  <c r="E41" i="4"/>
  <c r="F41" i="4"/>
  <c r="C39" i="4" l="1"/>
  <c r="D39" i="4"/>
  <c r="E39" i="4"/>
  <c r="F39" i="4"/>
  <c r="F34" i="4" l="1"/>
  <c r="E34" i="4"/>
  <c r="D34" i="4"/>
  <c r="C34" i="4"/>
  <c r="AS22" i="4" l="1"/>
  <c r="C47" i="4" l="1"/>
  <c r="D47" i="4"/>
  <c r="E47" i="4"/>
  <c r="F47" i="4"/>
  <c r="C30" i="4"/>
  <c r="D30" i="4"/>
  <c r="E30" i="4"/>
  <c r="F30" i="4"/>
  <c r="C46" i="4"/>
  <c r="D46" i="4"/>
  <c r="E46" i="4"/>
  <c r="F46" i="4"/>
  <c r="C31" i="4"/>
  <c r="D31" i="4"/>
  <c r="E31" i="4"/>
  <c r="F31" i="4"/>
  <c r="C32" i="4"/>
  <c r="D32" i="4"/>
  <c r="E32" i="4"/>
  <c r="F32" i="4"/>
  <c r="C33" i="4"/>
  <c r="D33" i="4"/>
  <c r="E33" i="4"/>
  <c r="F33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44" i="4"/>
  <c r="D44" i="4"/>
  <c r="E44" i="4"/>
  <c r="F44" i="4"/>
  <c r="AS26" i="4" l="1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5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4" i="4"/>
  <c r="D4" i="4"/>
  <c r="E4" i="4"/>
  <c r="F4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AS3" i="4"/>
  <c r="C3" i="4"/>
  <c r="D3" i="4"/>
  <c r="E3" i="4"/>
  <c r="F3" i="4"/>
  <c r="AS2" i="4"/>
  <c r="AM2" i="4" l="1"/>
  <c r="L2" i="4"/>
  <c r="N2" i="4" s="1"/>
  <c r="AB2" i="4" l="1"/>
  <c r="AT2" i="4"/>
  <c r="L68" i="4"/>
  <c r="N68" i="4" s="1"/>
  <c r="AB68" i="4" s="1"/>
  <c r="L67" i="4"/>
  <c r="N67" i="4" s="1"/>
  <c r="AB67" i="4" s="1"/>
  <c r="L66" i="4"/>
  <c r="N66" i="4" s="1"/>
  <c r="AB66" i="4" s="1"/>
  <c r="L65" i="4"/>
  <c r="N65" i="4" s="1"/>
  <c r="AB65" i="4" s="1"/>
  <c r="L64" i="4"/>
  <c r="N64" i="4" s="1"/>
  <c r="AB64" i="4" s="1"/>
  <c r="L63" i="4"/>
  <c r="N63" i="4" s="1"/>
  <c r="AB63" i="4" s="1"/>
  <c r="L62" i="4"/>
  <c r="N62" i="4" s="1"/>
  <c r="AB62" i="4" s="1"/>
  <c r="L61" i="4"/>
  <c r="N61" i="4" s="1"/>
  <c r="AB61" i="4" s="1"/>
  <c r="L60" i="4"/>
  <c r="N60" i="4" s="1"/>
  <c r="AB60" i="4" s="1"/>
  <c r="L59" i="4"/>
  <c r="N59" i="4" s="1"/>
  <c r="AB59" i="4" s="1"/>
  <c r="L58" i="4"/>
  <c r="N58" i="4" s="1"/>
  <c r="AB58" i="4" s="1"/>
  <c r="L57" i="4"/>
  <c r="N57" i="4" s="1"/>
  <c r="AB57" i="4" s="1"/>
  <c r="L56" i="4"/>
  <c r="N56" i="4" s="1"/>
  <c r="AB56" i="4" s="1"/>
  <c r="N55" i="4"/>
  <c r="AB55" i="4" s="1"/>
  <c r="L53" i="4"/>
  <c r="N53" i="4" s="1"/>
  <c r="AB53" i="4" s="1"/>
  <c r="L52" i="4"/>
  <c r="N52" i="4" s="1"/>
  <c r="AB52" i="4" s="1"/>
  <c r="L51" i="4"/>
  <c r="N51" i="4" s="1"/>
  <c r="AB51" i="4" s="1"/>
  <c r="L50" i="4"/>
  <c r="N50" i="4" s="1"/>
  <c r="AB50" i="4" s="1"/>
  <c r="L47" i="4"/>
  <c r="N47" i="4" s="1"/>
  <c r="AB47" i="4" s="1"/>
  <c r="L44" i="4"/>
  <c r="N44" i="4" s="1"/>
  <c r="AB44" i="4" s="1"/>
  <c r="L38" i="4"/>
  <c r="N38" i="4" s="1"/>
  <c r="AB38" i="4" s="1"/>
  <c r="L37" i="4"/>
  <c r="N37" i="4" s="1"/>
  <c r="AB37" i="4" s="1"/>
  <c r="AB36" i="4"/>
  <c r="L35" i="4"/>
  <c r="N35" i="4" s="1"/>
  <c r="AB35" i="4" s="1"/>
  <c r="AB33" i="4"/>
  <c r="L32" i="4"/>
  <c r="N32" i="4" s="1"/>
  <c r="AB32" i="4" s="1"/>
  <c r="L31" i="4"/>
  <c r="N31" i="4" s="1"/>
  <c r="AB31" i="4" s="1"/>
  <c r="L46" i="4"/>
  <c r="N46" i="4" s="1"/>
  <c r="AB46" i="4" s="1"/>
  <c r="L30" i="4"/>
  <c r="N30" i="4" s="1"/>
  <c r="AB30" i="4" s="1"/>
  <c r="L29" i="4"/>
  <c r="N29" i="4" s="1"/>
  <c r="L28" i="4"/>
  <c r="N28" i="4" s="1"/>
  <c r="L27" i="4"/>
  <c r="N27" i="4" s="1"/>
  <c r="L26" i="4"/>
  <c r="N26" i="4" s="1"/>
  <c r="N25" i="4"/>
  <c r="L24" i="4"/>
  <c r="N24" i="4" s="1"/>
  <c r="L23" i="4"/>
  <c r="N23" i="4" s="1"/>
  <c r="L22" i="4"/>
  <c r="N22" i="4" s="1"/>
  <c r="L21" i="4"/>
  <c r="N21" i="4" s="1"/>
  <c r="L20" i="4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N11" i="4" s="1"/>
  <c r="L10" i="4"/>
  <c r="N10" i="4" s="1"/>
  <c r="L9" i="4"/>
  <c r="N9" i="4" s="1"/>
  <c r="L8" i="4"/>
  <c r="N8" i="4" s="1"/>
  <c r="L6" i="4"/>
  <c r="N6" i="4" s="1"/>
  <c r="L5" i="4"/>
  <c r="N5" i="4" s="1"/>
  <c r="L4" i="4"/>
  <c r="N4" i="4" s="1"/>
  <c r="L3" i="4"/>
  <c r="N3" i="4" s="1"/>
  <c r="AA29" i="4" l="1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AA3" i="4"/>
  <c r="C68" i="4" l="1"/>
  <c r="C67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0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0" i="4"/>
  <c r="E50" i="4"/>
  <c r="D50" i="4"/>
  <c r="AB28" i="4"/>
  <c r="AB27" i="4"/>
  <c r="AB26" i="4"/>
  <c r="AB25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T24" i="4" l="1"/>
  <c r="AB24" i="4"/>
  <c r="AT29" i="4"/>
  <c r="AB29" i="4"/>
  <c r="AT28" i="4"/>
  <c r="AT13" i="4"/>
  <c r="AT19" i="4"/>
  <c r="AT27" i="4"/>
  <c r="AT18" i="4"/>
  <c r="AT11" i="4"/>
  <c r="AT12" i="4"/>
  <c r="AT14" i="4"/>
  <c r="AT15" i="4"/>
  <c r="AT16" i="4"/>
  <c r="AT17" i="4"/>
  <c r="AT20" i="4"/>
  <c r="AT21" i="4"/>
  <c r="AT22" i="4"/>
  <c r="AT23" i="4"/>
  <c r="AT25" i="4"/>
  <c r="AT26" i="4"/>
  <c r="AT30" i="4"/>
  <c r="AT46" i="4"/>
  <c r="AT33" i="4"/>
  <c r="AT36" i="4"/>
  <c r="AT37" i="4"/>
  <c r="AT38" i="4"/>
  <c r="AT44" i="4"/>
  <c r="AT53" i="4"/>
  <c r="AT55" i="4"/>
  <c r="AT56" i="4"/>
  <c r="AT57" i="4"/>
  <c r="AT58" i="4"/>
  <c r="AT60" i="4"/>
  <c r="AT61" i="4"/>
  <c r="AT62" i="4"/>
  <c r="AT63" i="4"/>
  <c r="AT64" i="4"/>
  <c r="AT65" i="4"/>
  <c r="AT66" i="4"/>
  <c r="AT67" i="4"/>
  <c r="AT68" i="4"/>
  <c r="AB10" i="4" l="1"/>
  <c r="AB9" i="4"/>
  <c r="AT7" i="4"/>
  <c r="AB6" i="4"/>
  <c r="AB3" i="4" l="1"/>
  <c r="AT5" i="4"/>
  <c r="AB5" i="4"/>
  <c r="AT8" i="4"/>
  <c r="AB8" i="4"/>
  <c r="AT4" i="4"/>
  <c r="AB4" i="4"/>
  <c r="AT3" i="4"/>
  <c r="AT10" i="4"/>
  <c r="AT9" i="4"/>
  <c r="AT6" i="4"/>
  <c r="C2" i="4" l="1"/>
  <c r="D2" i="4"/>
  <c r="F2" i="4"/>
  <c r="C7" i="2" s="1"/>
  <c r="E2" i="4"/>
  <c r="C6" i="2" s="1"/>
  <c r="A2" i="2" l="1"/>
  <c r="C5" i="2"/>
  <c r="A14" i="2" l="1"/>
  <c r="L7" i="4" l="1"/>
  <c r="N7" i="4" s="1"/>
  <c r="C14" i="2" s="1"/>
  <c r="C15" i="2" l="1"/>
  <c r="AB7" i="4"/>
  <c r="B14" i="2" s="1"/>
  <c r="B15" i="2" s="1"/>
  <c r="B18" i="2" l="1"/>
  <c r="B19" i="2" s="1"/>
  <c r="C18" i="2"/>
  <c r="C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DIRAF - YULESBY HERNANDEZ CANTILLO</author>
  </authors>
  <commentList>
    <comment ref="I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UTILIZAR MAYUSCULAS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PLANE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Ejemplo: 800141397-5
</t>
        </r>
      </text>
    </comment>
  </commentList>
</comments>
</file>

<file path=xl/sharedStrings.xml><?xml version="1.0" encoding="utf-8"?>
<sst xmlns="http://schemas.openxmlformats.org/spreadsheetml/2006/main" count="1725" uniqueCount="680">
  <si>
    <t>SIGLA</t>
  </si>
  <si>
    <t>UNIDAD</t>
  </si>
  <si>
    <t>DIRAF</t>
  </si>
  <si>
    <t>DEAMA</t>
  </si>
  <si>
    <t>DEARA</t>
  </si>
  <si>
    <t>DECAQ</t>
  </si>
  <si>
    <t>DECAS</t>
  </si>
  <si>
    <t>DECES</t>
  </si>
  <si>
    <t>DECHO</t>
  </si>
  <si>
    <t>DECUN</t>
  </si>
  <si>
    <t>DEGUA</t>
  </si>
  <si>
    <t>DEGUN</t>
  </si>
  <si>
    <t>DEGUV</t>
  </si>
  <si>
    <t>DEPUY</t>
  </si>
  <si>
    <t>DEQUI</t>
  </si>
  <si>
    <t>DESAP</t>
  </si>
  <si>
    <t>DESUC</t>
  </si>
  <si>
    <t>DEURA</t>
  </si>
  <si>
    <t>DEVIC</t>
  </si>
  <si>
    <t>DIASE</t>
  </si>
  <si>
    <t>DIBIE</t>
  </si>
  <si>
    <t>DICAR</t>
  </si>
  <si>
    <t>DIJIN</t>
  </si>
  <si>
    <t>DINAE</t>
  </si>
  <si>
    <t>DIPOL</t>
  </si>
  <si>
    <t>DIPRO</t>
  </si>
  <si>
    <t>DIRAN</t>
  </si>
  <si>
    <t>DITRA</t>
  </si>
  <si>
    <t>HOCEN</t>
  </si>
  <si>
    <t>ECSAN</t>
  </si>
  <si>
    <t>ESAVI</t>
  </si>
  <si>
    <t>ESBOL</t>
  </si>
  <si>
    <t>ESCAR</t>
  </si>
  <si>
    <t>ESJIM</t>
  </si>
  <si>
    <t>ESPOL</t>
  </si>
  <si>
    <t>ESSUM</t>
  </si>
  <si>
    <t>ESVEL</t>
  </si>
  <si>
    <t>MEBAR</t>
  </si>
  <si>
    <t>MEBOG</t>
  </si>
  <si>
    <t>MEBUC</t>
  </si>
  <si>
    <t>MECAL</t>
  </si>
  <si>
    <t>MECAR</t>
  </si>
  <si>
    <t>MECUC</t>
  </si>
  <si>
    <t>MEMAZ</t>
  </si>
  <si>
    <t>MEMOT</t>
  </si>
  <si>
    <t>MENEV</t>
  </si>
  <si>
    <t>MEPAS</t>
  </si>
  <si>
    <t>MEPER</t>
  </si>
  <si>
    <t>MEPOY</t>
  </si>
  <si>
    <t>MESAN</t>
  </si>
  <si>
    <t>METIB</t>
  </si>
  <si>
    <t>METUN</t>
  </si>
  <si>
    <t>MEVAL</t>
  </si>
  <si>
    <t>MEVIL</t>
  </si>
  <si>
    <t>DIRECCIÓN ADMINISTRATIVA Y FINANCIERA</t>
  </si>
  <si>
    <t>DEPARTAMENTO DE POLICÍA AMAZONAS</t>
  </si>
  <si>
    <t>DEPARTAMENTO DE POLICÍA ARAUCA</t>
  </si>
  <si>
    <t>DEPARTAMENTO DE POLICÍA CAQUETÁ</t>
  </si>
  <si>
    <t>DEPARTAMENTO DE POLICÍA CASANARE</t>
  </si>
  <si>
    <t>DEPARTAMENTO DE POLICÍA CESAR</t>
  </si>
  <si>
    <t>DEPARTAMENTO DE POLICÍA CHOCÓ</t>
  </si>
  <si>
    <t>DEPARTAMENTO DE POLICÍA CUNDINAMARCA</t>
  </si>
  <si>
    <t>DEPARTAMENTO DE POLICÍA GUAJIRA</t>
  </si>
  <si>
    <t>DEPARTAMENTO DE POLICÍA GUAINÍA</t>
  </si>
  <si>
    <t>DEPARTAMENTO DE POLICÍA GUAVIARE</t>
  </si>
  <si>
    <t>DEPARTAMENTO DE POLICÍA PUTUMAYO</t>
  </si>
  <si>
    <t>DEPARTAMENTO DE POLICÍA QUINDÍO</t>
  </si>
  <si>
    <t>DEPARTAMENTO DE POLICÍA SAN ANDRÉS Y PROVIDENCIA</t>
  </si>
  <si>
    <t>DEPARTAMENTO DE POLICÍA SUCRE</t>
  </si>
  <si>
    <t>DEPARTAMENTO DE POLICÍA URABÁ</t>
  </si>
  <si>
    <t>DEPARTAMENTO DE POLICÍA VICHADA</t>
  </si>
  <si>
    <t>DIRECCIÓN ANTISECUESTRO Y ANTIEXTORSIÓN</t>
  </si>
  <si>
    <t>DIRECCIÓN DE BIENESTAR SOCIAL</t>
  </si>
  <si>
    <t>DIRECCIÓN DE CARABINEROS Y SEGURIDAD RURAL</t>
  </si>
  <si>
    <t>DIRECCIÓN DE INVESTIGACIÓN CRIMINAL E INTERPOL</t>
  </si>
  <si>
    <t>DIRECCIÓN NACIONAL DE ESCUELAS</t>
  </si>
  <si>
    <t>DIRECCIÓN INTELIGENCIA POLICIAL</t>
  </si>
  <si>
    <t>DIRECCIÓN PROTECCIÓN Y SERVICIOS ESPECIALES</t>
  </si>
  <si>
    <t>DIRECCIÓN DE ANTINARCÓTICOS</t>
  </si>
  <si>
    <t xml:space="preserve">DIRECCIÓN DE TRÁNSITO Y TRANSPORTE </t>
  </si>
  <si>
    <t>HOSPITAL CENTRAL</t>
  </si>
  <si>
    <t>ESCUELA DE CADETES DE POLICÍA "GENERAL FRANCISCO DE PAULA SANTANDER"</t>
  </si>
  <si>
    <t>ESCUELA DE AVIACIÓN POLICIAL</t>
  </si>
  <si>
    <t>ESCUELA DE POLICÍA SIMÓN BOLÍVAR</t>
  </si>
  <si>
    <t>ESCUELA DE NACIONAL DE CARABINEROS</t>
  </si>
  <si>
    <t>ESCUELA DE SUBOFICIALES Y NIVEL EJECUTIVO GONZALO JIMÉNEZ DE QUESADA</t>
  </si>
  <si>
    <t>ESCUELA DE POSTGRADOS DE POLICÍA "MIGUEL ANTONIO LLERAS"</t>
  </si>
  <si>
    <t>ESCUELA DE PATRULLEROS PROVINCIA DE SUMAPAZ</t>
  </si>
  <si>
    <t>ESCUELA DE CARABINEROS PROVINCIA DE VÉLEZ</t>
  </si>
  <si>
    <t>POLICÍA METROPOLITANA DE BARRANQUILLA</t>
  </si>
  <si>
    <t>POLICÍA METROPOLITANA DE BOGOTÁ</t>
  </si>
  <si>
    <t>POLICÍA METROPOLITANA DE BUCARAMANGA</t>
  </si>
  <si>
    <t>POLICÍA METROPOLITANA DE SANTIAGO DE CALI</t>
  </si>
  <si>
    <t>POLICÍA METROPOLITANA DE CARTAGENA</t>
  </si>
  <si>
    <t>POLICÍA METROPOLITANA DE SAN JOSÉ DE CÚCUTA</t>
  </si>
  <si>
    <t>POLICÍA METROPOLITANA DE MANIZALES</t>
  </si>
  <si>
    <t xml:space="preserve">POLICÍA METROPOLITANA DE MONTERÍA </t>
  </si>
  <si>
    <t>POLICÍA METROPOLITANA DE NEIVA</t>
  </si>
  <si>
    <t>POLICÍA METROPOLITANA DE PASTO</t>
  </si>
  <si>
    <t>POLICÍA METROPOLITANA DE PEREIRA</t>
  </si>
  <si>
    <t>POLICÍA METROPOLITANA DE POPAYÁN</t>
  </si>
  <si>
    <t xml:space="preserve">POLICÍA METROPOLITANA DE SANTA MARTA </t>
  </si>
  <si>
    <t>POLICÍA METROPOLITANA DE IBAGUÉ</t>
  </si>
  <si>
    <t>POLICÍA METROPOLITANA DE TUNJA</t>
  </si>
  <si>
    <t>POLICÍA METROPOLITANA DEL VALLE DE ABURRA</t>
  </si>
  <si>
    <t>POLICÍA METROPOLITANA DE VILLAVICENCIO</t>
  </si>
  <si>
    <t xml:space="preserve">NOMBRE DE LA UNIDAD   </t>
  </si>
  <si>
    <t>NIT</t>
  </si>
  <si>
    <t xml:space="preserve">UNIDAD </t>
  </si>
  <si>
    <t>VALOR TOTAL CONTRATADO</t>
  </si>
  <si>
    <t>VALOR TOTAL PROGRAMADO</t>
  </si>
  <si>
    <t xml:space="preserve">Total General </t>
  </si>
  <si>
    <t xml:space="preserve">% DE AVANCE </t>
  </si>
  <si>
    <t>% PDTE</t>
  </si>
  <si>
    <t>CONTRATADO</t>
  </si>
  <si>
    <t>DESIERTO</t>
  </si>
  <si>
    <t>VIGENCIAS FUTURAS</t>
  </si>
  <si>
    <t>NOMBRE</t>
  </si>
  <si>
    <t>INFRAESTRUCTURA</t>
  </si>
  <si>
    <t>SELECCIÓN ABREVIADA</t>
  </si>
  <si>
    <t>AMP</t>
  </si>
  <si>
    <t>PROCESO DE SELECCIÓN</t>
  </si>
  <si>
    <t>DEVUELTO</t>
  </si>
  <si>
    <t>ECOS</t>
  </si>
  <si>
    <t>CONTRATO No</t>
  </si>
  <si>
    <t>META</t>
  </si>
  <si>
    <t>MES DE COMPRA PROYECTADA</t>
  </si>
  <si>
    <t>FECHA PROYECTADA CONTRATO</t>
  </si>
  <si>
    <t>NUMERO DE PROCESO</t>
  </si>
  <si>
    <t>MODALIDAD 
DE SELECCIÓN</t>
  </si>
  <si>
    <t xml:space="preserve">COMPONENTE </t>
  </si>
  <si>
    <t xml:space="preserve">VALOR ECO APROBADO </t>
  </si>
  <si>
    <t>ESTADO</t>
  </si>
  <si>
    <t xml:space="preserve">VALOR TOTAL </t>
  </si>
  <si>
    <t>INVERSIÓN</t>
  </si>
  <si>
    <t>REC 16</t>
  </si>
  <si>
    <t>REC 10</t>
  </si>
  <si>
    <t>ÁREA</t>
  </si>
  <si>
    <t>No.</t>
  </si>
  <si>
    <t>VALOR TOTAL</t>
  </si>
  <si>
    <t>PROGRAMADO POR MODALIDAD</t>
  </si>
  <si>
    <t>EJECUTADO Y CONTRATADO</t>
  </si>
  <si>
    <t>MENOR CUANTÍA</t>
  </si>
  <si>
    <t>MÍNIMA CUANTÍA</t>
  </si>
  <si>
    <t>AP - CONTRATACIÓN DIRECTA</t>
  </si>
  <si>
    <t>LICITACIÓN</t>
  </si>
  <si>
    <t xml:space="preserve">NOMBRE DE LA UNIDAD </t>
  </si>
  <si>
    <t xml:space="preserve">REGIONAL </t>
  </si>
  <si>
    <t xml:space="preserve">NO SE REALIZA </t>
  </si>
  <si>
    <t xml:space="preserve">POR LLEGAR </t>
  </si>
  <si>
    <t xml:space="preserve">ADJUDICADO </t>
  </si>
  <si>
    <t>EN EJECUCIÓN</t>
  </si>
  <si>
    <t>EJECUTADO</t>
  </si>
  <si>
    <t>LIQUIDADO</t>
  </si>
  <si>
    <t>CD</t>
  </si>
  <si>
    <t>LI</t>
  </si>
  <si>
    <t>MIC</t>
  </si>
  <si>
    <t>SA MC</t>
  </si>
  <si>
    <t>SA ACMP;</t>
  </si>
  <si>
    <t>SA; SA MC BSDN</t>
  </si>
  <si>
    <t>DIPON</t>
  </si>
  <si>
    <t>No. Contratacion</t>
  </si>
  <si>
    <t>REGIÓN 9</t>
  </si>
  <si>
    <t>REGIÓN 1</t>
  </si>
  <si>
    <t>REGIÓN 5</t>
  </si>
  <si>
    <t>REGIÓN 2</t>
  </si>
  <si>
    <t>REGIÓNAL</t>
  </si>
  <si>
    <t>REGIÓN 7</t>
  </si>
  <si>
    <t>REGIÓN 8</t>
  </si>
  <si>
    <t>REGIÓN 6</t>
  </si>
  <si>
    <t>REGIÓN 3</t>
  </si>
  <si>
    <t>REGIÓN 4</t>
  </si>
  <si>
    <t>CONTRATISTA</t>
  </si>
  <si>
    <t xml:space="preserve">REPRESENTANTE LEGAL </t>
  </si>
  <si>
    <t>FORMA DE PAGO</t>
  </si>
  <si>
    <t>PAGOS REALIZADOS</t>
  </si>
  <si>
    <t>SALDOS</t>
  </si>
  <si>
    <t>830041314-4</t>
  </si>
  <si>
    <t>800140601-9</t>
  </si>
  <si>
    <t>800140602-6</t>
  </si>
  <si>
    <t>800140605-8</t>
  </si>
  <si>
    <t>800140606-5</t>
  </si>
  <si>
    <t>800140610-5</t>
  </si>
  <si>
    <t>800140607-2</t>
  </si>
  <si>
    <t>844000016-1</t>
  </si>
  <si>
    <t>800140624-8</t>
  </si>
  <si>
    <t>800140623-0</t>
  </si>
  <si>
    <t>800140951-1</t>
  </si>
  <si>
    <t>800140616-9</t>
  </si>
  <si>
    <t>843000047-4</t>
  </si>
  <si>
    <t>800140974-0</t>
  </si>
  <si>
    <t>800252722-2</t>
  </si>
  <si>
    <t>800140977-2</t>
  </si>
  <si>
    <t>800141060-9</t>
  </si>
  <si>
    <t>800141098-8</t>
  </si>
  <si>
    <t>800141203-5</t>
  </si>
  <si>
    <t>800140986-9</t>
  </si>
  <si>
    <t>800141053-7</t>
  </si>
  <si>
    <t>800141100-5</t>
  </si>
  <si>
    <t>800141101-2</t>
  </si>
  <si>
    <t>842000015-5</t>
  </si>
  <si>
    <t>800141103-7</t>
  </si>
  <si>
    <t>SECCIONAL SANIDAD META</t>
  </si>
  <si>
    <t>900407224-6</t>
  </si>
  <si>
    <t>SECCIONAL SANIDAD HUILA</t>
  </si>
  <si>
    <t>900419719-1</t>
  </si>
  <si>
    <t>SECCIONAL SANIDAD ANTIOQUIA</t>
  </si>
  <si>
    <t>811032059-3</t>
  </si>
  <si>
    <t>802016407-3</t>
  </si>
  <si>
    <t>900336524-5</t>
  </si>
  <si>
    <t>SECCIONAL SANIDAD CUNDINAMARCA</t>
  </si>
  <si>
    <t>900253272-7</t>
  </si>
  <si>
    <t>SECCIONAL SANIDAD RISARALDA</t>
  </si>
  <si>
    <t>900339410-8</t>
  </si>
  <si>
    <t>SECCIONAL SANIDAD SANTANDER</t>
  </si>
  <si>
    <t>804012688-5</t>
  </si>
  <si>
    <t>SECCIONAL SANIDAD VALLE DEL CAUCA</t>
  </si>
  <si>
    <t>805022186-6</t>
  </si>
  <si>
    <t>DIRECCIÓN GENERAL DE LA POLICÍA NACIONAL</t>
  </si>
  <si>
    <t>CUANDO SE ENCUENTRA FIRMADO PERO NO TIENE FECHA DE INICIO</t>
  </si>
  <si>
    <t xml:space="preserve">CUANDO NO SE DESARROLLO EL PROCESO </t>
  </si>
  <si>
    <t xml:space="preserve">YA NO SE REALIZA EL PROCESOS POR ALGUNA CIRCUNSTANCIA </t>
  </si>
  <si>
    <t xml:space="preserve">CUANDO EL PROCESO AUN NO HA LLEGADO </t>
  </si>
  <si>
    <t>CUANDO EL CONTRATO FUE LIQUIDADO.</t>
  </si>
  <si>
    <t>ESTADOS</t>
  </si>
  <si>
    <t>MODALIDADES</t>
  </si>
  <si>
    <t>PAGOS PARCIALES</t>
  </si>
  <si>
    <t xml:space="preserve">PORCENTAJE DE AVANCE </t>
  </si>
  <si>
    <t xml:space="preserve">FORMAS DE PAGO </t>
  </si>
  <si>
    <t>FORMAS DE PAGO</t>
  </si>
  <si>
    <r>
      <t xml:space="preserve">FECHA INICIO FORMATO 
</t>
    </r>
    <r>
      <rPr>
        <b/>
        <sz val="11"/>
        <color rgb="FFFF0000"/>
        <rFont val="Calibri"/>
        <family val="2"/>
        <scheme val="minor"/>
      </rPr>
      <t>(DD/MM/AAAA)</t>
    </r>
  </si>
  <si>
    <r>
      <t>FECHA DE TERMINO</t>
    </r>
    <r>
      <rPr>
        <b/>
        <sz val="11"/>
        <color rgb="FFFF0000"/>
        <rFont val="Calibri"/>
        <family val="2"/>
        <scheme val="minor"/>
      </rPr>
      <t xml:space="preserve"> 
(DD/MM/AAAA)</t>
    </r>
  </si>
  <si>
    <t xml:space="preserve">No. De Contratación de acuerdo a manual </t>
  </si>
  <si>
    <t>AHORRO DE LA CONTRATACIÓN</t>
  </si>
  <si>
    <t>NO. CONSTANCIA SECOP</t>
  </si>
  <si>
    <t>FECHA DE SUSCRIPCIÓN CONTRATO 
(DD/MM/AAAA)</t>
  </si>
  <si>
    <t>CONFIGURACIÓN JURÍDICA (UNIÓN TEMPORAL O CONSORCIO</t>
  </si>
  <si>
    <t xml:space="preserve">CONTRA ENTREGA </t>
  </si>
  <si>
    <t>DESCRIPCIÓN</t>
  </si>
  <si>
    <t xml:space="preserve">CUANDO SE DEVOLVIÓ EL ESTUDIO PREVIO PARA CORRECCIÓN </t>
  </si>
  <si>
    <t xml:space="preserve">CUANDO SE ENCUENTRA EL ESTUDIO PREVIO EN REVISIÓN CONTRATOS </t>
  </si>
  <si>
    <t>CUANDO SE FIRMO RESOLUCIÓN DE ADJUDICACIÓN</t>
  </si>
  <si>
    <t xml:space="preserve">CUANDO ESTA VIGENTE DURANTE EL PLAZO DE INICIO Y TERMINO </t>
  </si>
  <si>
    <t>CUANDO SE CULMINO SU PLAZO DE EJECUCIÓN</t>
  </si>
  <si>
    <t>QUE TIPO DE PROCESO SE INCLUYEN</t>
  </si>
  <si>
    <t>ADICIÓN</t>
  </si>
  <si>
    <t>CONTRATACIÓN DIRECTA</t>
  </si>
  <si>
    <t>GASTOS GENERALES CONTRATADO</t>
  </si>
  <si>
    <t>INVERSIÓN CONTRATADO</t>
  </si>
  <si>
    <t>830067597-4</t>
  </si>
  <si>
    <t>DEAMA-ARSAN</t>
  </si>
  <si>
    <t>DEARA-ARSAN</t>
  </si>
  <si>
    <t>DEBOL-ARSAN</t>
  </si>
  <si>
    <t>DEBOY-ARSAN</t>
  </si>
  <si>
    <t>DECAL-ARSAN</t>
  </si>
  <si>
    <t>DECAQ-ARSAN</t>
  </si>
  <si>
    <t>DECAS-ARSAN</t>
  </si>
  <si>
    <t>DECAU-ARSAN</t>
  </si>
  <si>
    <t>DECES-ARSAN</t>
  </si>
  <si>
    <t>DECHO-ARSAN</t>
  </si>
  <si>
    <t>DECOR-ARSAN</t>
  </si>
  <si>
    <t>DEGUN-ARSAN</t>
  </si>
  <si>
    <t>DEGUA-ARSAN</t>
  </si>
  <si>
    <t>DEGUV-ARSAN</t>
  </si>
  <si>
    <t>DEMAG-ARSAN</t>
  </si>
  <si>
    <t>DENAR-ARSAN</t>
  </si>
  <si>
    <t>DENOR-ARSAN</t>
  </si>
  <si>
    <t>DEPUT-ARSAN</t>
  </si>
  <si>
    <t>DEQUI-ARSAN</t>
  </si>
  <si>
    <t>DESAP-ARSAN</t>
  </si>
  <si>
    <t>DESUC-ARSAN</t>
  </si>
  <si>
    <t>DETOL-ARSAN</t>
  </si>
  <si>
    <t>DEVIC-ARSAN</t>
  </si>
  <si>
    <t>DEURA-ARSAN</t>
  </si>
  <si>
    <t>DISAN-NIVEL CENTRAL</t>
  </si>
  <si>
    <t>SECSA-DEANT</t>
  </si>
  <si>
    <t>SECSA-DEATA</t>
  </si>
  <si>
    <t>SECBOG-DECUN</t>
  </si>
  <si>
    <t>SECSA-DEUIL</t>
  </si>
  <si>
    <t>SECSA-DEMET</t>
  </si>
  <si>
    <t>SECSA-DERIS</t>
  </si>
  <si>
    <t>SECSA-DESAN</t>
  </si>
  <si>
    <t>SECSA-DEVAL</t>
  </si>
  <si>
    <t>AREA DE SANIDAD AMAZONAS</t>
  </si>
  <si>
    <t>AREA DE SANIDAD ARAUCA</t>
  </si>
  <si>
    <t>AREA DE SANIDAD BOLIVAR</t>
  </si>
  <si>
    <t>AREA DE SANIDAD BOYACA</t>
  </si>
  <si>
    <t>AREA DE SANIDAD CALDAS</t>
  </si>
  <si>
    <t>AREA DE SANIDAD CAQUETA</t>
  </si>
  <si>
    <t>AREA DE SANIDAD CASANARE</t>
  </si>
  <si>
    <t>AREA DE SANIDAD CAUCA</t>
  </si>
  <si>
    <t>AREA DE SANIDAD CESAR</t>
  </si>
  <si>
    <t>AREA DE SANIDAD CHOCO</t>
  </si>
  <si>
    <t>AREA DE SANIDAD CORDOBA</t>
  </si>
  <si>
    <t>AREA DE SANIDAD GUAINIA</t>
  </si>
  <si>
    <t>AREA DE SANIDAD GUAJIRA</t>
  </si>
  <si>
    <t>AREA DE SANIDAD GUAVIARE</t>
  </si>
  <si>
    <t>AREA DE SANIDAD MAGDALENA</t>
  </si>
  <si>
    <t>AREA DE SANIDAD NARIÑO</t>
  </si>
  <si>
    <t>AREA DE SANIDAD NORTE DE SANTANDER</t>
  </si>
  <si>
    <t>AREA DE SANIDAD PUTUMAYO</t>
  </si>
  <si>
    <t>AREA DE SANIDAD QUINDIO</t>
  </si>
  <si>
    <t>AREA DE SANIDAD SAN ANDRES Y PROVIDENCIA</t>
  </si>
  <si>
    <t>AREA DE SANIDAD SUCRE</t>
  </si>
  <si>
    <t>AREA DE SANIDAD TOLIMA</t>
  </si>
  <si>
    <t>AREA DE SANIDAD VICHADA</t>
  </si>
  <si>
    <t>AREA SANIDAD URABA</t>
  </si>
  <si>
    <t>DIRECCION DE SANIDAD NIVEL CENTRAL</t>
  </si>
  <si>
    <t>SECCIONAL SANIDAD ATLANTICO</t>
  </si>
  <si>
    <t>SECCIONAL SANIDAD BOGOTA Y DECUND</t>
  </si>
  <si>
    <t>SECSA-DECUN</t>
  </si>
  <si>
    <t>800127508-8</t>
  </si>
  <si>
    <t>900807338-3</t>
  </si>
  <si>
    <t>900801209-4</t>
  </si>
  <si>
    <t>800141397-5</t>
  </si>
  <si>
    <t>800141379-2</t>
  </si>
  <si>
    <t>800141338-0</t>
  </si>
  <si>
    <t>830000097-5</t>
  </si>
  <si>
    <t>830053227-3</t>
  </si>
  <si>
    <t>830042321-0</t>
  </si>
  <si>
    <t>800140603-3</t>
  </si>
  <si>
    <t>800140625-5</t>
  </si>
  <si>
    <t>800140985-1</t>
  </si>
  <si>
    <t>800140611-2</t>
  </si>
  <si>
    <t>800226849-9</t>
  </si>
  <si>
    <t>800141336-6</t>
  </si>
  <si>
    <t>804003971-7</t>
  </si>
  <si>
    <t>800141206-7</t>
  </si>
  <si>
    <t>808000859-0</t>
  </si>
  <si>
    <t>809010745-6</t>
  </si>
  <si>
    <t>830090486-1</t>
  </si>
  <si>
    <t>900192793-1</t>
  </si>
  <si>
    <t>900149064-7</t>
  </si>
  <si>
    <t>900263078-7</t>
  </si>
  <si>
    <t>900233117-8</t>
  </si>
  <si>
    <t>900259415-0</t>
  </si>
  <si>
    <t>900393379-0</t>
  </si>
  <si>
    <t>900360623-7</t>
  </si>
  <si>
    <t>900486439-1</t>
  </si>
  <si>
    <t>900486513-7</t>
  </si>
  <si>
    <t>900552743-7</t>
  </si>
  <si>
    <t>900593683-9</t>
  </si>
  <si>
    <t>900634185-1</t>
  </si>
  <si>
    <t>900805219-6</t>
  </si>
  <si>
    <t>OBJETO CONTRACTUAL</t>
  </si>
  <si>
    <t>FECHA REAL DE ENTREGA ECO a GRUPO PRECONTRACTUAL</t>
  </si>
  <si>
    <t>FECHA DE APROBACIÓN DE ECO Y ENTREGA A ETAPA PRECONTRACTUAL CON CDP</t>
  </si>
  <si>
    <t>COMPONENTES</t>
  </si>
  <si>
    <t>MES PRESENTACIÓN ESTUDIO PREVIO</t>
  </si>
  <si>
    <t>FECHA PRESENTACIÓN ESTUDIO PREVIO</t>
  </si>
  <si>
    <t>FECHA APROBACIÓN ESTUDIO PREVIO</t>
  </si>
  <si>
    <t>OBJETO DEL PROCESO</t>
  </si>
  <si>
    <t xml:space="preserve">VIGENCIA ACTUAL </t>
  </si>
  <si>
    <t>VIGENCIA FUTURA</t>
  </si>
  <si>
    <t>N/A</t>
  </si>
  <si>
    <t xml:space="preserve">ENERO </t>
  </si>
  <si>
    <t>MESES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</si>
  <si>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</si>
  <si>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</si>
  <si>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</si>
  <si>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</si>
  <si>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</si>
  <si>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</si>
  <si>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</si>
  <si>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</si>
  <si>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</si>
  <si>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</si>
  <si>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</si>
  <si>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ADQUISICIÓN DE BIENES Y SERVICIOS</t>
  </si>
  <si>
    <t>VIGENCIA FUTURA 2020</t>
  </si>
  <si>
    <t>INFORME CONTRACTUAL VIGENCIA 2019</t>
  </si>
  <si>
    <t xml:space="preserve">Suma DE BIENES Y SERVICIOS </t>
  </si>
  <si>
    <t>ARCON</t>
  </si>
  <si>
    <t>SUMINSTRO DE COMBUSTIBLE GASOLINA Y ACPM PARA LOS VEHICULOS, MOTOCICLETAS Y LANCHA ASIGNADOS AL DEPARTAMENTO DE POLICIA SAN ANDRES PROVIDENCIA Y SANTA CATALINA, EN CONDICION DE ASIGNACION PERMANENTE O COMISION TEMPORAL, INCLUIDAS LAS DIRECCIONES Y ESPECIALIDADES</t>
  </si>
  <si>
    <t>MOVILIDAD</t>
  </si>
  <si>
    <t>PN DESAP SA MC 019 2017</t>
  </si>
  <si>
    <t>CUMPLIO</t>
  </si>
  <si>
    <t>38-8-10011-17</t>
  </si>
  <si>
    <t>ID.CO1.BDS.190604</t>
  </si>
  <si>
    <t>800020672-7</t>
  </si>
  <si>
    <t>AUTO ISLA LTDA</t>
  </si>
  <si>
    <t>MELHEN YIDIOS CUETER</t>
  </si>
  <si>
    <t>LOGISTICA</t>
  </si>
  <si>
    <t>800156530-7</t>
  </si>
  <si>
    <t>ALI WAKED E HIJOS Y COMPAÑÍA S EN C</t>
  </si>
  <si>
    <t>ALI WAKED</t>
  </si>
  <si>
    <t>ARRENDAMIENTO DE EDIFICIO PARA FUNCIONAMIENTO DEL COMANDO DEL COMANDO DE POLICIA SAN ANDRES, PROVIDENCIA Y SANTA CATALINA</t>
  </si>
  <si>
    <t>YOUSSEF NIME HOUSNI</t>
  </si>
  <si>
    <t>MANTENIMIENTO PREVENTIVO Y CORRECTIVO A TODO COSTO PARA LAS MOTOCICLETAS DEL DEPARTAMENTO DE POLICIA SAN ANDRES, PROVIDENCIA Y SANTA CATALINA Y COMPAÑÍA DE ANTINARCÓTICOS  CONTROL PORTUARIO Y AEROPORTUARIO, UNIDADES DE APOYO EN COMISION TEMPORAL O PERMANENTE.</t>
  </si>
  <si>
    <t>PN DESAP SA MC 030 2017</t>
  </si>
  <si>
    <t>38-7-10017-17</t>
  </si>
  <si>
    <t>ID.CO1.BDOS.242475</t>
  </si>
  <si>
    <t>900017159-1</t>
  </si>
  <si>
    <t>AREIZA PRIMOS LTDA</t>
  </si>
  <si>
    <t>GILDARDO ANTONIO AREIZA GIL</t>
  </si>
  <si>
    <t>ADQUISICION E INSUMOS DE IMPRESORAS PARA EL DEPARTAMENTO POLICÍA NACIONAL SAN ANDRES ISLAS</t>
  </si>
  <si>
    <t>MANTENIMIENTO PREVENTIVO Y CORRECTIVO A TODO COSTO PARA EL EQUIPO AUTOMOTOR Y LANCHA DEL DEPARTAMENTO DE POLICIA SAN ANDRES, PROVIDENCIA Y SANTA CATALINA Y COMPAÑÍA DE ANTINARCÓTICOS  CONTROL PORTUARIO Y AEROPORTUARIO, UNIDADES DE APOYO EN COMISION TEMPORAL O PERMANENTE</t>
  </si>
  <si>
    <t>PRODUCTOS DE CAFETERIA Y RESTAURANTE PARA EL DEPARTAMENTO DE POLICIA SAN ANDRES, PROVIDENCIA Y SANTA CATALINA</t>
  </si>
  <si>
    <t>SERVICIO DE ALIMENTACION PARA EL PERSONAL ADSCRITO AL DEPARTAMENTO DE POLICIA SAN ANDRES, PROVIDENCIA Y SANTA CATALINA, EN LAS DIFERENTES ACTIVIDADES OPERATIVAS ADMINISTRATIVAS Y LAS ELECCIONES DE CONGRESISTAS, PRIMERA Y SEGUNDA VUELTA PRESIDENCIAL</t>
  </si>
  <si>
    <t>PRESTACION DEL SERVICIO DE CORREO, MENSAJERIA Y PAQUETERA PARA EL DEPARTAMENTO DE POLICIA SAN ANDRES, PROVIDENCIA Y SANTA CATALINA</t>
  </si>
  <si>
    <t>SERVICIO DE ASEO Y MANTENIMIENTO A LAS INSTALACIONES DE ALOJAMIENTO EN LAS ZONAS COMUNES DEL PERSONAL QUE INTEGRA COMANDO DEL DEPARTAMENTO DE POLICIA SAN ANDRES, PROVIDENCIA Y SANTA CATALINA FASE 1</t>
  </si>
  <si>
    <t>ACTIVIDADES DE INTEGRACION Y MEJORAMIENTO DE LA CALIDAD DE VIDA-COMPONENTE ASISTENCIA SOCIAL, COMPONENTE RECREACION, PARA EL PERSONAL DEL DEPARTAMENTO DE POLICIA SAN ANDRES, RPOVIDENCIA Y SANTA CATALINA Y ESPECIALIDADES</t>
  </si>
  <si>
    <t>MANTENIMIENTO A LAS  INSTALACIONES DE ALOJAMIENTO, ESTACION DE BOMBEO Y PLANTA DE TRATAMIENTO DE AGUAS RECIDUALES DEL DEPARTAMENTO DE POLICIA SNA ANDRES, PROVIDENCIA Y SANTA CATALINA</t>
  </si>
  <si>
    <t xml:space="preserve">ARRENDAMIENTO DE UN EDIFICIO Y LOTE Y DOS LOCALES PARA LA ESTACION DE POICIA DSAN ANDRES, SECCIONAL DE INVESTIGACION CRIMINAL, SECCIONAL DE INTELIGENCIA POLICIAL, GRUPO DE PREVENCION CIUDADANA GRUPO LOGISTICO Y ABASTECIMIENTO, PARQUEADERO Y ALMACEN DE INTENDENCIA </t>
  </si>
  <si>
    <t>ARRENDAMIENTO DE UN EDIFICIO Y LOTE Y DOS LOCALES PARA LA ESTACION DE POLICIA SAN ANDRES, SECCIONAL DE INVESTIGACION CRIMINAL, SECCIONAL DE INTELIGENCIA POLICIAL, GRUPO DE PREVENCION CIUDADANA GRUPO LOGISTICO Y ABASTECIMIENTRO, PARQUEADERO Y ALMACEN DE INTENDENCIA</t>
  </si>
  <si>
    <t xml:space="preserve">ARRENDAMIENTO DE EDIFICIO PARA FUNCIONAMMIENTO DEL COMANDO DE POLICIA SAN ANDRES, PROVIDENCIA </t>
  </si>
  <si>
    <t>SERVICIO DE ALIMENTACION Y ALOJAMIENTO PARA EL PERSONAL UNIFORMADO DE APOYO A LOS DISPOSITIVOS PREVENTIVOS, DISUASIVOS Y DE CONTROL ORDENADOS POR EL COMANDO DE DEPARTAMENTO DE POLICIA SAN ANDRES, PROVIDENCIA Y SANTA CATALINA</t>
  </si>
  <si>
    <t>SUMINISTRO DE ALIMENTOS CONCENTRADOS PARA LA ALIMENTACION DE LOS SEMOVIENTES EQUINOS Y CANINOS ADSCRITOS AL GRUPO DE CARABINEROS Y GUIS CANINOS DEL DEPARTAMENTO DE POLICIA SAN ANDRES, PROVIDENCI Y SANTA CATALINA</t>
  </si>
  <si>
    <t xml:space="preserve">PROCESO DE COMBUSTIBLE (GADSOLINA CORRIENTE Y ACPM) PARA EL EQUIPO AUTOMOTOR PARA EL DEPARTAMENTO DE POLICIA SANDRES, P´ROVIDENCIA Y SANTA CATALINA, EN CONDICION DE ASIGNACION PERMANENTE O COMISION TEMPORAL, INCLUIDAS LAS DIRECCIONES Y ESPECIALIDADES </t>
  </si>
  <si>
    <t>PROCESO DE MANTENIMIENTO PREVENTIVO Y CORRECTIVO A TODO COSTO PARA LOS VEHICULOS Y LANCHA DEL DEPARTAMENTO DE POLICIA SAN ANDRES, PROVIDENCIA Y SANTA CATALINA, DIRECCIONES ESPECIALIDADES, UNIDADES DE APOYO EN COMISION TEMPORAL O PERMANENTE VIGENCIA 2018</t>
  </si>
  <si>
    <t>ARRENDAMIENTO DE INSTALACIONES PARA EL GRUPO DE ANTINARCOTICOS DEL DEPARTAMENTO DE POLICIA SAN ANDRES, PROVIDENCIA Y SANTA CATALINA</t>
  </si>
  <si>
    <t>ADQUISICION DE ELEMENTOS COMO ESTIMULO EN NAVIDAD PARA HIJOS DEL PERSONAL AFILIADO DE BIENESTAR SOCIAL DEL DEPARTAMENTO DE POLICIA SAN ANDRES, PROVIDENCIA Y SANTA CATALINA</t>
  </si>
  <si>
    <t>ARRENDAMIENTO DE ALOJAMIENTO PARA EL PERSONAL DE OFICIALES QUE INTEGRAN EL COMANDO DE DEPARTAMENTO DE POLICIA SAN ANDRES, PROVIDENCIA Y SANTA CATALINA</t>
  </si>
  <si>
    <t xml:space="preserve">ADQUISICION DE SEGUROS OBLIGATORIOS DE ACCIDENTES DE TRANSITO (SOAT) PARA LOS VEHICULOS DEL DEPARTAMENTO DE POLICIA SAN ANDRES, PROVIDENCIA Y SANTA CATALINA </t>
  </si>
  <si>
    <t>COMPRA DE EQUIPOS TECNOLOGICOS PARA EL FORTALECIMIENTO DE LA EMISORA RADIO POLICIA NACIONAL SAN ANDRES</t>
  </si>
  <si>
    <t>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</t>
  </si>
  <si>
    <t>TELEM</t>
  </si>
  <si>
    <t>TAHUM</t>
  </si>
  <si>
    <t>BIENES RAICES</t>
  </si>
  <si>
    <t>ANTIN</t>
  </si>
  <si>
    <t>BIESO</t>
  </si>
  <si>
    <t>COEST</t>
  </si>
  <si>
    <t>PN DESAP SA MC 033 2017</t>
  </si>
  <si>
    <t>PN DESAP MIC 004 2018</t>
  </si>
  <si>
    <t>PN DESAP MIC 005 2018</t>
  </si>
  <si>
    <t>PN DESAP MIC 007 2018</t>
  </si>
  <si>
    <t>PN DESAP SA MC 010 2018</t>
  </si>
  <si>
    <t>PN DESAP CD 026 2018</t>
  </si>
  <si>
    <t>PN DESAP CD 027 2018</t>
  </si>
  <si>
    <t>PN DESAP CD 030 2018</t>
  </si>
  <si>
    <t>PN DESAP CD 031 2018</t>
  </si>
  <si>
    <t>PN DESAP MIC 032 201/8</t>
  </si>
  <si>
    <t>PN DESAP MIC 028 2017</t>
  </si>
  <si>
    <t>PN DESAP MIC 040 2018</t>
  </si>
  <si>
    <t>PN DESAP MIC 038 2018</t>
  </si>
  <si>
    <t>PN DESAP CD 043 2018</t>
  </si>
  <si>
    <t>PN DESAP MIC 048 2018</t>
  </si>
  <si>
    <t>PN DESAP SA MC 042 2018</t>
  </si>
  <si>
    <t>PN DESAP CD 050 2018</t>
  </si>
  <si>
    <t>PN DESAP MIC 055 2018</t>
  </si>
  <si>
    <t>PN DESAP MIC 056 2018</t>
  </si>
  <si>
    <t>PN DESAP SA MC 051</t>
  </si>
  <si>
    <t>04/1272017</t>
  </si>
  <si>
    <t>29/0172018</t>
  </si>
  <si>
    <t xml:space="preserve">DICIEMBRE </t>
  </si>
  <si>
    <t>830087030-6</t>
  </si>
  <si>
    <t>S.O.S. SOLUCIONES DE OFICINA &amp; SUMINISTROS S.A.S</t>
  </si>
  <si>
    <t>DIEGO PAVA PIÑERO</t>
  </si>
  <si>
    <t>811021363-0</t>
  </si>
  <si>
    <t>UNIPLES S.A</t>
  </si>
  <si>
    <t>CARLOS MARIO ESCOBAR ORTIZ</t>
  </si>
  <si>
    <t>38-7-10019-17</t>
  </si>
  <si>
    <t>ID.CO1.BDOS.249901</t>
  </si>
  <si>
    <t>TALLER AREIZA PRIMOS LTDA</t>
  </si>
  <si>
    <t>38-8-10002-18</t>
  </si>
  <si>
    <t>ID.CO1.BDOS.355152</t>
  </si>
  <si>
    <t>27/0272018</t>
  </si>
  <si>
    <t>900811148-6</t>
  </si>
  <si>
    <t>G 6 A BUSSINES ASOCIATION S.A.S</t>
  </si>
  <si>
    <t>LUCAS ALBERTO ARIZA DE A ROSA</t>
  </si>
  <si>
    <t>38-7-10001-18</t>
  </si>
  <si>
    <t>ID.CO1.BDOS.352002</t>
  </si>
  <si>
    <t>ALEIDA ROSA FIGUEROA MESINO</t>
  </si>
  <si>
    <t>PRESTACION DEL SERVICIO DE CORREO, MENSAJERIA Y PAQUETERA PARA EL DEPARTAMENTO DE POLICIA SAN ANDRES, PROVIDENCIA Y SANTA CATALINA”</t>
  </si>
  <si>
    <t>SERVICIOS POSTALES NACIONALES S.A</t>
  </si>
  <si>
    <t>JUAN MANUEÑ REYES ALVAREZ</t>
  </si>
  <si>
    <t>800093388-2</t>
  </si>
  <si>
    <t>CONSERJES INMOBILIARIOS</t>
  </si>
  <si>
    <t>JORGE ELIECER MURIEL BOTERO</t>
  </si>
  <si>
    <t>38-7-10003-18</t>
  </si>
  <si>
    <t>ID.CO1.PCCNTR.370505</t>
  </si>
  <si>
    <t>900162168-8</t>
  </si>
  <si>
    <t>LOPMI SAS</t>
  </si>
  <si>
    <t>FERNANDO TORRES MORENO</t>
  </si>
  <si>
    <t>38-6-10005-18</t>
  </si>
  <si>
    <t>ID.CO1.BDS.392459</t>
  </si>
  <si>
    <t>901181496-3</t>
  </si>
  <si>
    <t>CONSORCIO DESAP</t>
  </si>
  <si>
    <t>SI</t>
  </si>
  <si>
    <t>DIEGO ROLANDO GUTIERREZ CASTRO</t>
  </si>
  <si>
    <t>900683113-9</t>
  </si>
  <si>
    <t>INVERSIONES SALCEDO GALLARDO S.AS</t>
  </si>
  <si>
    <t>RUTH YADIRA SALCEDO RODRIGUEZ</t>
  </si>
  <si>
    <t>38-1-10007-18</t>
  </si>
  <si>
    <t>38-1-10008-18</t>
  </si>
  <si>
    <t>38-1-10009-18</t>
  </si>
  <si>
    <t>800156930-7</t>
  </si>
  <si>
    <t>38-1-10010-18</t>
  </si>
  <si>
    <t>38-7-10011-18</t>
  </si>
  <si>
    <t>G &amp; A BUSSINES ASOCIATION S.A.S</t>
  </si>
  <si>
    <t>LUIS ALBERTO ARIZA DE LA ROSA</t>
  </si>
  <si>
    <t>38-8-10012-17</t>
  </si>
  <si>
    <t>802005636-6</t>
  </si>
  <si>
    <t>GN DISTRIBUCIONES S,A,S</t>
  </si>
  <si>
    <t>ANITA GORDON BENT</t>
  </si>
  <si>
    <t>38-8-10012-18</t>
  </si>
  <si>
    <t>AUTO ISLAS S.A.S</t>
  </si>
  <si>
    <t>38-7-10013-18</t>
  </si>
  <si>
    <t>38-1-10014-18</t>
  </si>
  <si>
    <t>38-2-10015-18</t>
  </si>
  <si>
    <t>98653205-1</t>
  </si>
  <si>
    <t>COMERCIALIZADORA IJD</t>
  </si>
  <si>
    <t>JUAN CARLOS OCHOA BLANDON</t>
  </si>
  <si>
    <t>38-8-10016-18</t>
  </si>
  <si>
    <t xml:space="preserve">AUTO ISLAS S.A.S </t>
  </si>
  <si>
    <t>38-1-10017-18</t>
  </si>
  <si>
    <t>HOSTAL BIG MAMAS HUSE</t>
  </si>
  <si>
    <t>JENNIFFER GENITH ORORZCO SUAREZ</t>
  </si>
  <si>
    <t>LA PREVISORA S.A.</t>
  </si>
  <si>
    <t>MARLENE VALERO</t>
  </si>
  <si>
    <t>38-2-10018-18</t>
  </si>
  <si>
    <t>900228350-8</t>
  </si>
  <si>
    <t>COMUNICACIONES CIRT LTDA</t>
  </si>
  <si>
    <t>LUZ MARINA TINJACA DE LOZANO</t>
  </si>
  <si>
    <t>38-8-10019-18</t>
  </si>
  <si>
    <t>GUSTAVO ALONSO PALACIO ORTIZ</t>
  </si>
  <si>
    <t>38-7-10020-18</t>
  </si>
  <si>
    <t>22/11/219</t>
  </si>
  <si>
    <t xml:space="preserve">ADQUISICIÓN DE PAPELERÍA, Y UTENSILIOS DE ESCRITORIO Y OFICINA PARA EL DEPARTAMENTO DE POLICÍA SAN ANDRÉS, PROVIDENCIA Y SANTA CATALINA VIGENCIA 2019
</t>
  </si>
  <si>
    <t>ADQUISICION E INSUMOS PARA IMPRESORAS DEL DEPARTAMENTO DE POLICIA SAN ANDRES, PROVIDENICIA Y SANTA CATALINA VIGENCIA 2019.</t>
  </si>
  <si>
    <t xml:space="preserve">SERVICIO DE ASEO Y MANTENIMIENTO A LAS  INSTALACIONES DE ALOJAMIENTO, OFICINAS Y ZONAS COMUNES DEL PERSONAL QUE INTEGRA COMANDO DEPARTAMENTO DE POLICIA SAN ANDRES, PROVIDENCIA Y SANTA CATALINA FASE 1 - FASE 2 - FASE 3
</t>
  </si>
  <si>
    <t xml:space="preserve">ARRENDAMIENTO DE INSTALACIONES PARA EL GRUPO DE ANTINARCOTICOS DEL DEPARTAMENTO DE POLICIA SAN ANDRES, PROVIDENCIA Y SANTA CATALINA VIGIENCIA 2018 - 2019
</t>
  </si>
  <si>
    <t xml:space="preserve">SERVICIO DE SEGUROS DE ACCIDENTES PERSONALES PARA EL PERSONAL DEL DEPARTAMENTO DE POLICIA SAN ANDRES, PROVIDENCIA Y SNATA CATALINA
</t>
  </si>
  <si>
    <t xml:space="preserve">KIT ACCESORIOS DE PRIMEROS AUXILIOS Y EMERGENCIAS PARA EL DEPARTAMENTO DE POLICIA SAN ANDRES, PROVIDENCIA Y SANTA CATALINA
</t>
  </si>
  <si>
    <t xml:space="preserve">ELEMENTOS DE ASEO Y LIMPIEZA PARA EL DEPARTAMENTO DE POLICIA SAN ANDRES, PROVIDENCIA Y SANTA CATALINA
</t>
  </si>
  <si>
    <t xml:space="preserve">SERVICIO DE CORREO Y MENSAJERIA PARA EL DEPARTAMENTO DE POLICIA SAN ANDRES, PROVIDENCIA Y SANTA CATALINA
</t>
  </si>
  <si>
    <t xml:space="preserve">TRABAJOS TIPOGRAFICOS EN CUMPLIMIENTO AL PLAN DE ACCION 2019
</t>
  </si>
  <si>
    <t xml:space="preserve">ARRENDAMIENTO DE UNOS APATAMENTOS PARA EL PERSONAL DE OFICIALES Y SUBOFICIAL QUE INTEGRAN EL COMANDO DE DEPARTAMENTO DE POLCIIA SAN ANDRES, PROVIDENCIA Y SANTA CATALINA PARA LA VIGIENCIA 2019
</t>
  </si>
  <si>
    <t xml:space="preserve">MANTENIMIENTO PREVENTIVO Y CORRECTIVO A TODO COSTO PARA LOS VEHICULOS, MOTOCICLETA Y LANCHA DEL DEPARTAMENTO DE POLICIA SAN ANDRES, PROVIDENCIA Y SANTA CATALINA VIGENCIA 2019. 
</t>
  </si>
  <si>
    <t xml:space="preserve">ALIMENTO CONCENTRADO PARA EQUINOS DE TRABAJO BULTO X 40 KG
</t>
  </si>
  <si>
    <t>GRUCA</t>
  </si>
  <si>
    <t>MANTENIMIENTO PREVENTIVO Y CORRECTIVO Y/O MEJORAS LOCATIVAS DE LAS INSTALACIONES ADSCRITAS AL DEPARTAMENTO DE POLICIA SAN ANDRES Y PROVIDENCIA A PRECIOS UNITARIOS FIJOS SIN FORMULA DE REAJUSTE</t>
  </si>
  <si>
    <t>08/20/2019</t>
  </si>
  <si>
    <t>PN DESAP MIC 001 2019</t>
  </si>
  <si>
    <t>PN DESAP CD 002 2019</t>
  </si>
  <si>
    <t>38-1-10001-19</t>
  </si>
  <si>
    <t>PN DESAP MIC 004 2019</t>
  </si>
  <si>
    <t>PN DESAP MIC 005 2019</t>
  </si>
  <si>
    <t>ABRIL</t>
  </si>
  <si>
    <t>38-2-10003-19</t>
  </si>
  <si>
    <t>901014140-2</t>
  </si>
  <si>
    <t>AR &amp; G INGENIERIA S.A.S</t>
  </si>
  <si>
    <t>ANDRES LEONARDO GUTIERREZ CASTRO</t>
  </si>
  <si>
    <t>PN DESAP MIC 003 2019</t>
  </si>
  <si>
    <t>38-2-10002-19</t>
  </si>
  <si>
    <t xml:space="preserve">ADQUISICION DE SEGURO OBLIGATORIO  DE ACCIDENTES DE TRANSITO (SOAT) PARA LOS VEHICULOS DEL DEPARTAMENTO DE POLICIA SAN ANDRES, PROVIDENCIA Y SANTA CATALINA  </t>
  </si>
  <si>
    <t>PN DESAP MIC 008 2019</t>
  </si>
  <si>
    <t>SETRA - SEPRO - DERHU</t>
  </si>
  <si>
    <t>30/03/219</t>
  </si>
  <si>
    <t>PN DESAP MIC 009 2019</t>
  </si>
  <si>
    <t>PN DESAP CD 012 2019</t>
  </si>
  <si>
    <t>38-1-10012-19</t>
  </si>
  <si>
    <t>PN DESAP MIC 013 2019</t>
  </si>
  <si>
    <t>38-8-10005-19</t>
  </si>
  <si>
    <t>860002400-2</t>
  </si>
  <si>
    <t>RAFAEL ARMANDO RODRIGUEZ MENDEZ</t>
  </si>
  <si>
    <t>PN DESAP MIC 016 2019</t>
  </si>
  <si>
    <t>38-8-10006-19</t>
  </si>
  <si>
    <t>900589201-7</t>
  </si>
  <si>
    <t>ERIKA JINETH QUINTERO ENCISO</t>
  </si>
  <si>
    <t>KANDERI GROUP S.A.S.</t>
  </si>
  <si>
    <t>MOVILIDAD - ANTIN-SETRA-DERHU</t>
  </si>
  <si>
    <t>PN DESAP SA MC 051 2018</t>
  </si>
  <si>
    <t>G.N DISTRIBUCIONES S.A.S</t>
  </si>
  <si>
    <t xml:space="preserve"> </t>
  </si>
  <si>
    <t xml:space="preserve">ARRENDAMIENTO DE UNOS APARTAMENTOS PARA EL PERSONAL DE OFICIALES Y SUBOFICIAL QUE INTEGRAN EL COMANDO DE DEPARTAMENTO DE POLCIIA SAN ANDRES, PROVIDENCIA Y SANTA CATALINA PARA LA VIGIENCIA 2019
</t>
  </si>
  <si>
    <t xml:space="preserve">ARRENDAMIENTO DE INSTALACIONES PARA EL GRUPO DE ANTINARCOTICOS DEL DEPARTAMENTO DE POLICIA SAN ANDRES, PROVIDENCIA Y SANTA CATALINA 
</t>
  </si>
  <si>
    <t>MANTENIMIENTO PREVENTIVO Y CORRECTIVO Y/O MEJORAS LOCATIVAS DE LAS INSTALACIONES ADSCRITAS AL DEPARTAMENTO DE POLICÍA SAN ANDRÉS Y PROVIDENCIA A PRECIOS UNITARIOS FIJOS SIN FÓRMULA DE REAJUSTE.</t>
  </si>
  <si>
    <t>PN DESAP SA MC  014 2019</t>
  </si>
  <si>
    <t>38-8-10007-19</t>
  </si>
  <si>
    <t>900520848-4</t>
  </si>
  <si>
    <t>SAFRID INGENIERIA S.A.S</t>
  </si>
  <si>
    <t>MIGUEL ALEXANDER CERON MOLINA</t>
  </si>
  <si>
    <t>PN DESAP MIC 022 2019</t>
  </si>
  <si>
    <t>38-7-10008-19</t>
  </si>
  <si>
    <t>900305563-1</t>
  </si>
  <si>
    <t>IMPRIDEAS S.A.S</t>
  </si>
  <si>
    <t>PAULA ANDREA HURTADO BETANCUR</t>
  </si>
  <si>
    <t xml:space="preserve"> ARCON</t>
  </si>
  <si>
    <t>MOVILIDAD - ANTIN</t>
  </si>
  <si>
    <t>PN DESA`SA MC 028 2019</t>
  </si>
  <si>
    <t xml:space="preserve">OCTUBRE </t>
  </si>
  <si>
    <t>38-8-10009-19</t>
  </si>
  <si>
    <t>AUTO ISLA SAS</t>
  </si>
  <si>
    <t>SUMINSTRO DE COMBUSTIBLE (GASOLINA CORRIENTE  Y ACPM) PARA LOS VEHICULOS, MOTOCICLETAS Y LANCHA PARA EL DEPARTAMENTO DE POLICIA SAN ANDRES PROVIDENCIA Y SANTA CATALINA, EN CONDICION DE ASIGNACION PERMANENTE O COMISION TEMPORAL, INCLUIDAS LAS DIRECCIONES Y ESPECIALIDADES,AMPARA V.F 2020 $236.500,000,00</t>
  </si>
  <si>
    <t>SERVICIO DE ALIMENTACION PARA EL PERSONAL UNIFORMADO DE APOYO A LOS DISPOSITIVOS PREVENTIVOS, DISUASIVOS Y DE CONTROL EN LAS ELECCIONES DEL PROXIMO 27 DE OCTUBRE EN DEPARTAMENTO DE POLICIAS SAN ANDRES, PROVIDENCIA Y SANTA CATALINA</t>
  </si>
  <si>
    <t>$ 31.488.889,00</t>
  </si>
  <si>
    <t>$                             31.488.889,00</t>
  </si>
  <si>
    <t>PN DESAP 039 2019</t>
  </si>
  <si>
    <t>38-7-10013-19</t>
  </si>
  <si>
    <t>DELICIAS DANY JAVI SHOP RESTAURANTE</t>
  </si>
  <si>
    <t>$                                         31.488.889,00</t>
  </si>
  <si>
    <t xml:space="preserve"> ADQUISICION EQUIPO AUTOMOTOR ITEM 1 CAMIONETA UNIFORMADA 2.050CC-2.449CC 4X4 DOBLE CABINA DIESEL A TRAVES DEL ACUERDO MARCO DE PRECIOS DE VEHICULOS "CCE-312-1-AMP-2015"</t>
  </si>
  <si>
    <t>$ 148.202.100,00</t>
  </si>
  <si>
    <t>$                             148.202.100,00</t>
  </si>
  <si>
    <t>SETRA</t>
  </si>
  <si>
    <t>901019989-0</t>
  </si>
  <si>
    <t>UNION TEMPORAL EFICIENTE 2016</t>
  </si>
  <si>
    <t>JULIO CESAR LARA GARCIA</t>
  </si>
  <si>
    <t>$                                     31.488.889,00</t>
  </si>
  <si>
    <t>ADQUISICION  DE MOTOCICLETAS DE 644CC-A-749 UNIFORMADAS ENDURO PARA EL PERSONAL DE LA SECCIONAL DE TRANSITO Y TRANSPORTE DEL DEPARTAMENTO DE POLICIA SAN ANDRES, PROVIDENCIA Y SANTA CATALINA</t>
  </si>
  <si>
    <t>PN DESAP MIC 043 2019</t>
  </si>
  <si>
    <t>38-2-10011-19</t>
  </si>
  <si>
    <t>SUSUKI MOTOR DE COLOMBIA S.A</t>
  </si>
  <si>
    <t>LUIS EDUARDO ESPINOSA SABOGAL</t>
  </si>
  <si>
    <t>891410137-2</t>
  </si>
  <si>
    <t>ADQUISICION DE ALEMENTOS COMO ESTIMULO EN NAVIDAD PARA HIJOS DEL PERSONAL AFILIADO DE BIENESTAR SOCIAL DEL DEPARTAMENTO DE POLICIA SAN ANDRES PROVIDENCIA Y SANTA CATALINA</t>
  </si>
  <si>
    <t>GUTAH</t>
  </si>
  <si>
    <t>PN DESAP MIC 047 2019</t>
  </si>
  <si>
    <t>38-2-10014-19</t>
  </si>
  <si>
    <t>AR&amp;G INGENIERIA S.A.S</t>
  </si>
  <si>
    <t>ADQUISICION DE EQUIPOS E INSTALACIONES PARA LA EMISORA DEL DEPARTAMENTO DE POLICIA SAN ANDRES, PROVIDENCIA Y SANTA CATALINA</t>
  </si>
  <si>
    <t>PN DESAP MIC 044 2019</t>
  </si>
  <si>
    <t>38-2-10015-19</t>
  </si>
  <si>
    <t xml:space="preserve">COMUNICACIONES CIRT LTDA </t>
  </si>
  <si>
    <t>LUZ MARINA TINJACA</t>
  </si>
  <si>
    <t>PN DESAP MIC 046 2019</t>
  </si>
  <si>
    <t>38-8-10016-19</t>
  </si>
  <si>
    <t>92509417-9</t>
  </si>
  <si>
    <t>AGROVETERINARIA JUAN PABLO</t>
  </si>
  <si>
    <t>JUAN PABLO ANGARITA ARRIETA</t>
  </si>
  <si>
    <t>ESPECIALIDADES</t>
  </si>
  <si>
    <t>ADICION No. 01 AL CONTRATO PRINCIPAL PN DESAP No. 38-8-10009-19 DE FECHA 30/10/2019, CUYO OBJETO ES EL PROCESO SUMINISTRO DE COMBISTIBLE (GASOLINA CORRIENTE Y ACPM) PARA LOS VEHICULOS, MOTICUCLETAS Y LANCHAS DEL DEPARTAMENTO POLICIASAN ANDRES PROVIDENCIA Y SANTA CATALINA, EN CONDICION DE ASIGNACION PERMANENTE O COMISION TEMPORAL, INCLUIDAS LAS DIRECCIONES Y ESPECIALIDADES. AMPARA VF 2020 $236,500,000,00</t>
  </si>
  <si>
    <t>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2020"</t>
  </si>
  <si>
    <t xml:space="preserve">MOVILIDAD DESAP </t>
  </si>
  <si>
    <t>PN DESA`SA MC 030 2019</t>
  </si>
  <si>
    <t>38-7-10010-19</t>
  </si>
  <si>
    <t>ADICION No. 1 AL CONTRATO PRINCIPAL PN DESAP No. 38-7-10010-19 CUYO OBJETO ES EL 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2020"</t>
  </si>
  <si>
    <t>ADQUISICION DE EQUIPOS TEGNOLOGICOS COMPUTADORES, IMPRESORAS Y TELEVISORES PARA EL PERSONAL DE LA SECCIONAL DE TRANSITO Y TRANSPORTE DEL DEPARTAMENTO DE POLICIA SAN ANDRES, PROVIDENCIA Y SANTA CATALINA</t>
  </si>
  <si>
    <t>PN DESAP MIC 048 2019</t>
  </si>
  <si>
    <t>38-2-10018-19</t>
  </si>
  <si>
    <t>ARYG INGENIERIA SAS</t>
  </si>
  <si>
    <t>YOGENYS MARIA JIMENEZ SEVILLA</t>
  </si>
  <si>
    <t>MANTENIMIENTO PREVENTIVO Y CORRECTIVO A TODO COSTO DE LOS EQUIPOS DEL LABORATORIO DE LA SECCIONAL DE INVESTIGACION CRIMINAL DEL DEPARTAMENTO DE POLICIA SAN ANDRES, PROVIDENCIA Y SANTA CATALINA</t>
  </si>
  <si>
    <t>SIJIN</t>
  </si>
  <si>
    <t>PN DESAP MIC 052 2019</t>
  </si>
  <si>
    <t>38-7-10017-19</t>
  </si>
  <si>
    <t>DATUS INGENIERIA SAS</t>
  </si>
  <si>
    <t>EDGAR JAVIER SALGADO NARANJO</t>
  </si>
  <si>
    <t>ADQUISICION DE CUÑETES DE PINTURA PARA EL DEPARTAMENTO DE POLICIA SAN ANDRES, PROVIDENCIA Y SANTA CATALINA.</t>
  </si>
  <si>
    <t>LOGISTICO</t>
  </si>
  <si>
    <t>PN DESAP MIC 053 2019</t>
  </si>
  <si>
    <t>38-2-10019-19</t>
  </si>
  <si>
    <t>900798695-8</t>
  </si>
  <si>
    <t>SERVISTAR CONSTRU-MUNDO</t>
  </si>
  <si>
    <t>RAFAEL GUILLERMO HENAO VALENCIA</t>
  </si>
  <si>
    <t>ADICION No. 1 AL CONTRATO PRINCIPAL PN DESAP No. 38-1-10012-19 CUYO OBJETO ES EL ARRENDAMIENTO DE ALOJAMIENTO PARA EL PERSONAL DE OFICIALES QUE INTEGRAN EL COMANDO DE DEPARTAMENTO DE POLICIA SAN ANDRES, PROVIDENCIA Y SANTA CATALINA</t>
  </si>
  <si>
    <t>PN DESAP CD 012  2019</t>
  </si>
  <si>
    <t>JENNIFER GENITH OROZCO SUAREZ</t>
  </si>
  <si>
    <t>PROCESO DE ARRENDAMIENTO DE INSTALACIONES PARA EL GRUPO DE ANTINARCOTICOS DEL DEPARTAMENTO DE POLICIA SAN ANDRES PROVIDENCIA Y SANTA CATALINA. AMPARA V.F 2020 POR UN VALOR DE $161.000.000,00</t>
  </si>
  <si>
    <t>PN DESAP CD 059 2019</t>
  </si>
  <si>
    <t>38-1-10021-19</t>
  </si>
  <si>
    <t>MARIA ALEJANDRA DIAZ SALCEDO</t>
  </si>
  <si>
    <t>ACTIVIDADES DE INTEGRACIÓN Y MEJORAMIENTO DE LA CALIDAD DE VIDA- COMPONENTE ASISTENCIA SOCIAL PARA EL PERSONAL DEL DEPARTAMENTO DE POLICÍA SAN ANDRÉS, PROVIDENCIA Y SANTA CATALINA Y ESPECIALIDADES.</t>
  </si>
  <si>
    <t>PN DESAP MIC 064 2019</t>
  </si>
  <si>
    <t>38-7-10023-19</t>
  </si>
  <si>
    <t>901086770-0</t>
  </si>
  <si>
    <t>DUKE PLACE CASA FINCA SAS</t>
  </si>
  <si>
    <t>LEOBARDO DUKE SANTANA</t>
  </si>
  <si>
    <t>ARRENDAMIENTO DE ALOJAMIENTO PARA EL PERSONAL DE OFICIALES QUE INTEGRAN EL COMANDO DE DEPARTAMENTO DE  POLICÍA SAN ANDRÉS, PROVIDENCIA Y SANTA CATALINA CON APALANCAMIENTO V.F 2020 219.543.032,58</t>
  </si>
  <si>
    <t>PN DESAP CD 065 2019</t>
  </si>
  <si>
    <t>38-1-10024-19</t>
  </si>
  <si>
    <t>ADQUISICIÓN DE EQUIPOS TECNOLÓGICOS (EQUIPOS Y APARATOS DE RADIO, TELEVISIÓN Y COMUNICACIONES) PARA LA ADECUACIÓN DE LA SALA DE AUDIENCIA DEL DEPARTAMENTO DE POLICÍA SAN ANDRÉS, PROVIDENCIA Y SANTA CATALINA</t>
  </si>
  <si>
    <t>CODIN</t>
  </si>
  <si>
    <t>PN DESAP MIC 063 2019</t>
  </si>
  <si>
    <t>38-2-10022-19</t>
  </si>
  <si>
    <t>79696673-0</t>
  </si>
  <si>
    <t>JULIO ANDRES CASTRO GONZALES</t>
  </si>
  <si>
    <t>$                                                           -</t>
  </si>
  <si>
    <t xml:space="preserve">$                                                         - </t>
  </si>
  <si>
    <t xml:space="preserve">ADQUISICION DE EQUIPOS TECNOLOGICOS COMPUTADORES, IMPRESORAS Y TELEVISORES PARA EL PERSONAL DE LA SECCIONAL  DE TRANSITO Y TRANSPORTE DEL DEPARTAMENTO DE POLICIA SAN ANDRES, PROVIDENCIA Y SANTA CATALINA </t>
  </si>
  <si>
    <t xml:space="preserve">YOGENYS MARIA JIMENEZ SEVILLA </t>
  </si>
  <si>
    <t>Etiquetas de fila</t>
  </si>
  <si>
    <t>Total general</t>
  </si>
  <si>
    <t>Cuenta de INVERSIÓN</t>
  </si>
  <si>
    <t>Cuenta de UNIDAD</t>
  </si>
  <si>
    <t xml:space="preserve">Suma de VALOR TOTAL </t>
  </si>
  <si>
    <t>Suma de VIGENCIA FUTURA</t>
  </si>
  <si>
    <t>Suma de GASTOS GENERALES CONTRATADO</t>
  </si>
  <si>
    <t>Suma de INVERSIÓN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</si>
</sst>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&quot;$&quot;* #,##0.00_-;\-&quot;$&quot;* #,##0.00_-;_-&quot;$&quot;* &quot;-&quot;??_-;_-@_-"/>
    <numFmt numFmtId="166" formatCode="dd/mm/yyyy;@"/>
    <numFmt numFmtId="167" formatCode="_-[$$-240A]* #,##0.00_-;\-[$$-240A]* #,##0.00_-;_-[$$-24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5" fontId="2" fillId="4" borderId="0" xfId="1" applyFont="1" applyFill="1" applyBorder="1" applyAlignment="1">
      <alignment horizontal="center"/>
    </xf>
    <xf numFmtId="10" fontId="0" fillId="3" borderId="0" xfId="2" applyNumberFormat="1" applyFont="1" applyFill="1" applyBorder="1" applyAlignment="1">
      <alignment horizontal="center"/>
    </xf>
    <xf numFmtId="10" fontId="2" fillId="4" borderId="0" xfId="1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5" fontId="2" fillId="2" borderId="1" xfId="1" applyFont="1" applyFill="1" applyBorder="1" applyAlignment="1" applyProtection="1">
      <alignment horizontal="center" vertical="center" wrapText="1"/>
    </xf>
    <xf numFmtId="165" fontId="0" fillId="0" borderId="0" xfId="1" applyFont="1" applyProtection="1"/>
    <xf numFmtId="166" fontId="0" fillId="5" borderId="1" xfId="0" applyNumberFormat="1" applyFill="1" applyBorder="1" applyAlignment="1" applyProtection="1">
      <alignment horizontal="center"/>
    </xf>
    <xf numFmtId="165" fontId="0" fillId="6" borderId="1" xfId="1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2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5" fontId="0" fillId="0" borderId="1" xfId="1" applyFon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65" fontId="0" fillId="0" borderId="0" xfId="1" applyFon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protection locked="0"/>
    </xf>
    <xf numFmtId="0" fontId="0" fillId="7" borderId="1" xfId="0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5" fontId="0" fillId="0" borderId="0" xfId="1" applyFont="1" applyAlignment="1" applyProtection="1">
      <alignment horizontal="center"/>
      <protection locked="0"/>
    </xf>
    <xf numFmtId="165" fontId="2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3" borderId="0" xfId="1" applyFont="1" applyFill="1" applyBorder="1"/>
    <xf numFmtId="0" fontId="0" fillId="0" borderId="1" xfId="0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65" fontId="0" fillId="0" borderId="1" xfId="1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3" applyFont="1" applyBorder="1" applyAlignment="1">
      <alignment vertical="center"/>
    </xf>
    <xf numFmtId="165" fontId="11" fillId="3" borderId="3" xfId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165" fontId="0" fillId="6" borderId="1" xfId="1" applyFont="1" applyFill="1" applyBorder="1" applyAlignment="1" applyProtection="1">
      <alignment vertical="center"/>
    </xf>
    <xf numFmtId="165" fontId="0" fillId="5" borderId="1" xfId="1" applyFont="1" applyFill="1" applyBorder="1" applyAlignment="1" applyProtection="1">
      <alignment vertical="center"/>
    </xf>
    <xf numFmtId="166" fontId="0" fillId="5" borderId="1" xfId="0" applyNumberFormat="1" applyFill="1" applyBorder="1" applyAlignment="1" applyProtection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165" fontId="0" fillId="0" borderId="1" xfId="1" applyFont="1" applyBorder="1" applyAlignment="1" applyProtection="1">
      <alignment vertical="center"/>
      <protection locked="0"/>
    </xf>
    <xf numFmtId="165" fontId="0" fillId="5" borderId="1" xfId="0" applyNumberForma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5" fontId="0" fillId="6" borderId="1" xfId="1" applyFont="1" applyFill="1" applyBorder="1" applyAlignment="1" applyProtection="1">
      <alignment horizontal="center" vertical="center"/>
    </xf>
    <xf numFmtId="165" fontId="12" fillId="0" borderId="1" xfId="1" applyFont="1" applyFill="1" applyBorder="1" applyAlignment="1" applyProtection="1">
      <protection locked="0"/>
    </xf>
    <xf numFmtId="165" fontId="12" fillId="0" borderId="1" xfId="1" applyFont="1" applyFill="1" applyBorder="1" applyAlignment="1" applyProtection="1">
      <alignment vertical="center"/>
      <protection locked="0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167" fontId="11" fillId="0" borderId="1" xfId="1" applyNumberFormat="1" applyFont="1" applyFill="1" applyBorder="1" applyAlignment="1" applyProtection="1">
      <alignment vertical="center"/>
      <protection locked="0"/>
    </xf>
    <xf numFmtId="165" fontId="0" fillId="0" borderId="1" xfId="1" applyFon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65" fontId="0" fillId="5" borderId="1" xfId="1" applyFont="1" applyFill="1" applyBorder="1" applyAlignment="1" applyProtection="1">
      <alignment horizontal="center" vertical="center"/>
      <protection locked="0"/>
    </xf>
    <xf numFmtId="165" fontId="0" fillId="7" borderId="1" xfId="1" applyFont="1" applyFill="1" applyBorder="1" applyAlignment="1" applyProtection="1">
      <alignment horizontal="center" vertical="center"/>
      <protection locked="0"/>
    </xf>
    <xf numFmtId="14" fontId="0" fillId="0" borderId="1" xfId="1" applyNumberFormat="1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165" fontId="11" fillId="5" borderId="1" xfId="1" applyFont="1" applyFill="1" applyBorder="1" applyAlignment="1" applyProtection="1">
      <alignment vertical="center"/>
    </xf>
    <xf numFmtId="166" fontId="11" fillId="5" borderId="1" xfId="0" applyNumberFormat="1" applyFont="1" applyFill="1" applyBorder="1" applyAlignment="1" applyProtection="1">
      <alignment horizontal="center" vertical="center"/>
    </xf>
    <xf numFmtId="165" fontId="11" fillId="6" borderId="1" xfId="1" applyFont="1" applyFill="1" applyBorder="1" applyAlignment="1" applyProtection="1">
      <alignment vertical="center"/>
    </xf>
    <xf numFmtId="0" fontId="11" fillId="8" borderId="0" xfId="0" applyFont="1" applyFill="1" applyAlignment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165" fontId="0" fillId="3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5" fontId="11" fillId="3" borderId="1" xfId="1" applyFont="1" applyFill="1" applyBorder="1" applyAlignment="1" applyProtection="1">
      <alignment vertical="center"/>
      <protection locked="0"/>
    </xf>
    <xf numFmtId="0" fontId="0" fillId="3" borderId="0" xfId="0" applyFill="1" applyAlignment="1"/>
    <xf numFmtId="165" fontId="0" fillId="3" borderId="1" xfId="1" applyFont="1" applyFill="1" applyBorder="1" applyAlignment="1">
      <alignment vertical="center"/>
    </xf>
    <xf numFmtId="0" fontId="0" fillId="3" borderId="1" xfId="0" applyFill="1" applyBorder="1" applyAlignment="1"/>
    <xf numFmtId="14" fontId="6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5" fontId="11" fillId="3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4" fontId="13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/>
    <xf numFmtId="0" fontId="0" fillId="0" borderId="1" xfId="0" applyBorder="1" applyAlignment="1" applyProtection="1">
      <alignment horizontal="left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5" fontId="0" fillId="3" borderId="1" xfId="1" applyFont="1" applyFill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indent="1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4" fontId="0" fillId="0" borderId="1" xfId="0" applyNumberFormat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44" fontId="0" fillId="3" borderId="0" xfId="0" applyNumberFormat="1" applyFill="1" applyBorder="1"/>
    <xf numFmtId="0" fontId="0" fillId="0" borderId="0" xfId="0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2" fillId="4" borderId="0" xfId="0" applyNumberFormat="1" applyFont="1" applyFill="1" applyAlignment="1">
      <alignment horizontal="center"/>
    </xf>
    <xf numFmtId="42" fontId="0" fillId="0" borderId="0" xfId="0" applyNumberFormat="1"/>
    <xf numFmtId="42" fontId="2" fillId="4" borderId="0" xfId="0" applyNumberFormat="1" applyFont="1" applyFill="1"/>
    <xf numFmtId="0" fontId="12" fillId="4" borderId="0" xfId="0" applyFont="1" applyFill="1" applyAlignment="1">
      <alignment horizontal="center"/>
    </xf>
    <xf numFmtId="42" fontId="0" fillId="0" borderId="0" xfId="4" applyFont="1"/>
    <xf numFmtId="42" fontId="2" fillId="4" borderId="0" xfId="4" applyFont="1" applyFill="1"/>
  </cellXfs>
  <cellStyles count="5">
    <cellStyle name="Millares" xfId="3" builtinId="3"/>
    <cellStyle name="Moneda" xfId="1" builtinId="4"/>
    <cellStyle name="Moneda [0]" xfId="4" builtinId="7"/>
    <cellStyle name="Normal" xfId="0" builtinId="0"/>
    <cellStyle name="Porcentaje" xfId="2" builtinId="5"/>
  </cellStyles>
  <dxfs count="161">
    <dxf>
      <alignment horizontal="center"/>
    </dxf>
    <dxf>
      <alignment horizontal="center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/>
    </dxf>
    <dxf>
      <alignment horizontal="center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>
          <bgColor theme="3" tint="-0.499984740745262"/>
        </patternFill>
      </fill>
    </dxf>
    <dxf>
      <fill>
        <patternFill>
          <bgColor theme="3" tint="-0.499984740745262"/>
        </patternFill>
      </fill>
    </dxf>
    <dxf>
      <font>
        <color auto="1"/>
      </font>
    </dxf>
    <dxf>
      <font>
        <color auto="1"/>
      </font>
    </dxf>
    <dxf>
      <numFmt numFmtId="165" formatCode="_-&quot;$&quot;* #,##0.00_-;\-&quot;$&quot;* #,##0.00_-;_-&quot;$&quot;* &quot;-&quot;??_-;_-@_-"/>
    </dxf>
    <dxf>
      <numFmt numFmtId="32" formatCode="_-&quot;$&quot;\ * #,##0_-;\-&quot;$&quot;\ * #,##0_-;_-&quot;$&quot;\ * &quot;-&quot;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alignment horizontal="center"/>
    </dxf>
    <dxf>
      <alignment horizontal="center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5" formatCode="_-&quot;$&quot;* #,##0.00_-;\-&quot;$&quot;* #,##0.00_-;_-&quot;$&quot;* &quot;-&quot;??_-;_-@_-"/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427983539094645E-2"/>
          <c:y val="6.4753480209862463E-2"/>
          <c:w val="0.92757201646090537"/>
          <c:h val="0.870493039580275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11-417F-B34D-BA7AED45821A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11-417F-B34D-BA7AED45821A}"/>
              </c:ext>
            </c:extLst>
          </c:dPt>
          <c:dLbls>
            <c:dLbl>
              <c:idx val="0"/>
              <c:layout>
                <c:manualLayout>
                  <c:x val="0.31491798710346391"/>
                  <c:y val="5.150845016693604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1-417F-B34D-BA7AED45821A}"/>
                </c:ext>
              </c:extLst>
            </c:dLbl>
            <c:dLbl>
              <c:idx val="1"/>
              <c:layout>
                <c:manualLayout>
                  <c:x val="0.36678254107125485"/>
                  <c:y val="-0.1452243960706642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7173455169954"/>
                      <c:h val="7.77338414109862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311-417F-B34D-BA7AED45821A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'FICHA PRESEN'!$B$17:$C$17</c:f>
              <c:strCache>
                <c:ptCount val="2"/>
                <c:pt idx="0">
                  <c:v>% DE AVANCE </c:v>
                </c:pt>
                <c:pt idx="1">
                  <c:v>% PDTE</c:v>
                </c:pt>
              </c:strCache>
            </c:strRef>
          </c:cat>
          <c:val>
            <c:numRef>
              <c:f>'FICHA PRESEN'!$B$18:$C$18</c:f>
              <c:numCache>
                <c:formatCode>0.00%</c:formatCode>
                <c:ptCount val="2"/>
                <c:pt idx="0">
                  <c:v>0.99999999999999967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1-417F-B34D-BA7AED45821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1552574</xdr:colOff>
      <xdr:row>9</xdr:row>
      <xdr:rowOff>150813</xdr:rowOff>
    </xdr:from>
    <xdr:to>
      <xdr:col>5</xdr:col>
      <xdr:colOff>1809749</xdr:colOff>
      <xdr:row>19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P - CAROLINA ELIZABETH CUERVO SANCHEZ" refreshedDate="43832.81893321759" createdVersion="6" refreshedVersion="6" minRefreshableVersion="3" recordCount="67" xr:uid="{AE4883B9-9F61-408D-9634-CD823A070EE0}">
  <cacheSource type="worksheet">
    <worksheetSource ref="A1:AU68" sheet="GENERAL"/>
  </cacheSource>
  <cacheFields count="47">
    <cacheField name="No." numFmtId="0">
      <sharedItems containsSemiMixedTypes="0" containsString="0" containsNumber="1" containsInteger="1" minValue="1" maxValue="69"/>
    </cacheField>
    <cacheField name="SIGLA" numFmtId="0">
      <sharedItems/>
    </cacheField>
    <cacheField name="No. De Contratación de acuerdo a manual " numFmtId="0">
      <sharedItems containsString="0" containsBlank="1" containsNumber="1" containsInteger="1" minValue="38" maxValue="38"/>
    </cacheField>
    <cacheField name="REGIONAL " numFmtId="0">
      <sharedItems/>
    </cacheField>
    <cacheField name="NOMBRE DE LA UNIDAD " numFmtId="0">
      <sharedItems/>
    </cacheField>
    <cacheField name="NIT" numFmtId="0">
      <sharedItems/>
    </cacheField>
    <cacheField name="UNIDAD" numFmtId="0">
      <sharedItems/>
    </cacheField>
    <cacheField name="ÁREA" numFmtId="0">
      <sharedItems/>
    </cacheField>
    <cacheField name="OBJETO DEL PROCESO" numFmtId="0">
      <sharedItems longText="1"/>
    </cacheField>
    <cacheField name="REC 10" numFmtId="0">
      <sharedItems containsBlank="1" containsMixedTypes="1" containsNumber="1" minValue="257555" maxValue="575000000"/>
    </cacheField>
    <cacheField name="REC 16" numFmtId="165">
      <sharedItems containsString="0" containsBlank="1" containsNumber="1" minValue="0" maxValue="45474674"/>
    </cacheField>
    <cacheField name="ADQUISICIÓN DE BIENES Y SERVICIOS" numFmtId="165">
      <sharedItems containsSemiMixedTypes="0" containsString="0" containsNumber="1" minValue="0" maxValue="575000000"/>
    </cacheField>
    <cacheField name="INVERSIÓN" numFmtId="165">
      <sharedItems containsNonDate="0" containsString="0" containsBlank="1"/>
    </cacheField>
    <cacheField name="VALOR TOTAL " numFmtId="165">
      <sharedItems containsSemiMixedTypes="0" containsString="0" containsNumber="1" minValue="0" maxValue="575000000"/>
    </cacheField>
    <cacheField name="VIGENCIA FUTURA 2020" numFmtId="0">
      <sharedItems containsString="0" containsBlank="1" containsNumber="1" containsInteger="1" minValue="0" maxValue="0"/>
    </cacheField>
    <cacheField name="FECHA REAL DE ENTREGA ECO a GRUPO PRECONTRACTUAL" numFmtId="14">
      <sharedItems containsNonDate="0" containsDate="1" containsString="0" containsBlank="1" minDate="2017-07-19T00:00:00" maxDate="2019-12-10T00:00:00"/>
    </cacheField>
    <cacheField name="FECHA DE APROBACIÓN DE ECO Y ENTREGA A ETAPA PRECONTRACTUAL CON CDP" numFmtId="14">
      <sharedItems containsNonDate="0" containsDate="1" containsString="0" containsBlank="1" minDate="2017-07-21T00:00:00" maxDate="2019-12-06T00:00:00"/>
    </cacheField>
    <cacheField name="VALOR ECO APROBADO " numFmtId="165">
      <sharedItems containsBlank="1" containsMixedTypes="1" containsNumber="1" minValue="0" maxValue="575000000"/>
    </cacheField>
    <cacheField name="COMPONENTE " numFmtId="0">
      <sharedItems/>
    </cacheField>
    <cacheField name="MODALIDAD _x000a_DE SELECCIÓN" numFmtId="0">
      <sharedItems count="6">
        <s v="VIGENCIAS FUTURAS"/>
        <s v="AMP"/>
        <s v="MÍNIMA CUANTÍA"/>
        <s v="SELECCIÓN ABREVIADA"/>
        <s v="CONTRATACIÓN DIRECTA"/>
        <s v="ADICIÓN"/>
      </sharedItems>
    </cacheField>
    <cacheField name="NUMERO DE PROCESO" numFmtId="0">
      <sharedItems containsBlank="1" containsMixedTypes="1" containsNumber="1" containsInteger="1" minValue="23023" maxValue="42213"/>
    </cacheField>
    <cacheField name="MES PRESENTACIÓN ESTUDIO PREVIO" numFmtId="0">
      <sharedItems containsBlank="1"/>
    </cacheField>
    <cacheField name="FECHA PRESENTACIÓN ESTUDIO PREVIO" numFmtId="0">
      <sharedItems containsDate="1" containsBlank="1" containsMixedTypes="1" minDate="2017-07-18T00:00:00" maxDate="2019-12-10T00:00:00"/>
    </cacheField>
    <cacheField name="FECHA APROBACIÓN ESTUDIO PREVIO" numFmtId="0">
      <sharedItems containsDate="1" containsBlank="1" containsMixedTypes="1" minDate="2017-07-19T00:00:00" maxDate="2019-12-11T00:00:00"/>
    </cacheField>
    <cacheField name="FECHA PROYECTADA CONTRATO" numFmtId="0">
      <sharedItems containsDate="1" containsBlank="1" containsMixedTypes="1" minDate="2017-08-29T00:00:00" maxDate="2019-12-15T00:00:00"/>
    </cacheField>
    <cacheField name="MES DE COMPRA PROYECTADA" numFmtId="0">
      <sharedItems containsBlank="1"/>
    </cacheField>
    <cacheField name="META" numFmtId="0">
      <sharedItems containsBlank="1"/>
    </cacheField>
    <cacheField name="AHORRO DE LA CONTRATACIÓN" numFmtId="165">
      <sharedItems containsSemiMixedTypes="0" containsString="0" containsNumber="1" minValue="0" maxValue="4882120.9399999976"/>
    </cacheField>
    <cacheField name="CONTRATO No" numFmtId="0">
      <sharedItems containsBlank="1" containsMixedTypes="1" containsNumber="1" containsInteger="1" minValue="23023" maxValue="42213"/>
    </cacheField>
    <cacheField name="NO. CONSTANCIA SECOP" numFmtId="0">
      <sharedItems containsBlank="1" containsMixedTypes="1" containsNumber="1" containsInteger="1" minValue="23023" maxValue="26013"/>
    </cacheField>
    <cacheField name="FECHA DE SUSCRIPCIÓN CONTRATO _x000a_(DD/MM/AAAA)" numFmtId="0">
      <sharedItems containsDate="1" containsBlank="1" containsMixedTypes="1" minDate="2017-08-29T00:00:00" maxDate="2019-12-15T00:00:00"/>
    </cacheField>
    <cacheField name="OBJETO CONTRACTUAL" numFmtId="0">
      <sharedItems containsBlank="1" longText="1"/>
    </cacheField>
    <cacheField name="NIT2" numFmtId="0">
      <sharedItems containsBlank="1" containsMixedTypes="1" containsNumber="1" containsInteger="1" minValue="19071686" maxValue="9000629179"/>
    </cacheField>
    <cacheField name="CONTRATISTA" numFmtId="0">
      <sharedItems containsBlank="1"/>
    </cacheField>
    <cacheField name="CONFIGURACIÓN JURÍDICA (UNIÓN TEMPORAL O CONSORCIO" numFmtId="0">
      <sharedItems containsBlank="1"/>
    </cacheField>
    <cacheField name="REPRESENTANTE LEGAL " numFmtId="0">
      <sharedItems containsBlank="1"/>
    </cacheField>
    <cacheField name="VIGENCIA ACTUAL " numFmtId="0">
      <sharedItems containsBlank="1" containsMixedTypes="1" containsNumber="1" minValue="515110" maxValue="575000000"/>
    </cacheField>
    <cacheField name="VIGENCIA FUTURA" numFmtId="0">
      <sharedItems containsString="0" containsBlank="1" containsNumber="1" minValue="0" maxValue="385997397.83999997"/>
    </cacheField>
    <cacheField name="VALOR TOTAL CONTRATADO" numFmtId="165">
      <sharedItems containsSemiMixedTypes="0" containsString="0" containsNumber="1" minValue="0" maxValue="575000000"/>
    </cacheField>
    <cacheField name="GASTOS GENERALES CONTRATADO" numFmtId="165">
      <sharedItems containsBlank="1" containsMixedTypes="1" containsNumber="1" minValue="515110" maxValue="575000000"/>
    </cacheField>
    <cacheField name="INVERSIÓN CONTRATADO" numFmtId="165">
      <sharedItems containsBlank="1" containsMixedTypes="1" containsNumber="1" minValue="515110" maxValue="575000000"/>
    </cacheField>
    <cacheField name="FECHA INICIO FORMATO _x000a_(DD/MM/AAAA)" numFmtId="0">
      <sharedItems containsDate="1" containsBlank="1" containsMixedTypes="1" minDate="2017-09-01T00:00:00" maxDate="2019-12-15T00:00:00"/>
    </cacheField>
    <cacheField name="FECHA DE TERMINO _x000a_(DD/MM/AAAA)" numFmtId="166">
      <sharedItems containsDate="1" containsBlank="1" containsMixedTypes="1" minDate="2018-06-29T00:00:00" maxDate="2020-08-01T00:00:00"/>
    </cacheField>
    <cacheField name="FORMA DE PAGO" numFmtId="0">
      <sharedItems containsBlank="1"/>
    </cacheField>
    <cacheField name="PAGOS REALIZADOS" numFmtId="0">
      <sharedItems containsBlank="1" containsMixedTypes="1" containsNumber="1" minValue="515110" maxValue="620000000"/>
    </cacheField>
    <cacheField name="SALDOS" numFmtId="165">
      <sharedItems containsBlank="1" containsMixedTypes="1" containsNumber="1" minValue="0" maxValue="293900000"/>
    </cacheField>
    <cacheField name="ES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n v="1"/>
    <s v="DESAP"/>
    <n v="38"/>
    <s v="REGIÓN 1"/>
    <s v="DEPARTAMENTO DE POLICÍA SAN ANDRÉS Y PROVIDENCIA"/>
    <s v="800141053-7"/>
    <s v="DESAP"/>
    <s v="ARCON"/>
    <s v="SUMINSTRO DE COMBUSTIBLE GASOLINA Y ACPM PARA LOS VEHICULOS, MOTOCICLETAS Y LANCHA ASIGNADOS AL DEPARTAMENTO DE POLICIA SAN ANDRES PROVIDENCIA Y SANTA CATALINA, EN CONDICION DE ASIGNACION PERMANENTE O COMISION TEMPORAL, INCLUIDAS LAS DIRECCIONES Y ESPECIALIDADES"/>
    <n v="381493079.58999997"/>
    <m/>
    <n v="381493079.58999997"/>
    <m/>
    <n v="381493079.58999997"/>
    <n v="0"/>
    <d v="2017-07-19T00:00:00"/>
    <d v="2017-07-21T00:00:00"/>
    <n v="381493079.58999997"/>
    <s v="MOVILIDAD"/>
    <x v="0"/>
    <s v="PN DESAP SA MC 019 2017"/>
    <s v="JULIO"/>
    <d v="2017-07-18T00:00:00"/>
    <d v="2017-07-19T00:00:00"/>
    <d v="2017-08-29T00:00:00"/>
    <s v="AGOSTO"/>
    <s v="CUMPLIO"/>
    <n v="0"/>
    <s v="38-8-10011-17"/>
    <s v="ID.CO1.BDS.190604"/>
    <d v="2017-08-29T00:00:00"/>
    <s v="SUMINSTRO DE COMBUSTIBLE GASOLINA Y ACPM PARA LOS VEHICULOS, MOTOCICLETAS Y LANCHA ASIGNADOS AL DEPARTAMENTO DE POLICIA SAN ANDRES PROVIDENCIA Y SANTA CATALINA, EN CONDICION DE ASIGNACION PERMANENTE O COMISION TEMPORAL, INCLUIDAS LAS DIRECCIONES Y ESPECIALIDADES"/>
    <s v="800020672-7"/>
    <s v="AUTO ISLA LTDA"/>
    <s v="N/A"/>
    <s v="MELHEN YIDIOS CUETER"/>
    <n v="381493079.58999997"/>
    <n v="0"/>
    <n v="381493079.58999997"/>
    <n v="381493079.58999997"/>
    <n v="381493079.58999997"/>
    <d v="2017-09-01T00:00:00"/>
    <d v="2018-10-31T00:00:00"/>
    <s v="PAGOS PARCIALES"/>
    <n v="527529369.94999999"/>
    <n v="0"/>
    <s v="LIQUIDADO"/>
  </r>
  <r>
    <n v="2"/>
    <s v="DESAP"/>
    <n v="38"/>
    <s v="REGIÓN 1"/>
    <s v="DEPARTAMENTO DE POLICÍA SAN ANDRÉS Y PROVIDENCIA"/>
    <s v="800141053-7"/>
    <s v="DESAP"/>
    <s v="ARCON"/>
    <s v="MANTENIMIENTO PREVENTIVO Y CORRECTIVO A TODO COSTO PARA LAS MOTOCICLETAS DEL DEPARTAMENTO DE POLICIA SAN ANDRES, PROVIDENCIA Y SANTA CATALINA Y COMPAÑÍA DE ANTINARCÓTICOS  CONTROL PORTUARIO Y AEROPORTUARIO, UNIDADES DE APOYO EN COMISION TEMPORAL O PERMANENTE."/>
    <n v="234291730"/>
    <m/>
    <n v="234291730"/>
    <m/>
    <n v="234291730"/>
    <n v="0"/>
    <d v="2017-10-30T00:00:00"/>
    <d v="2017-11-04T00:00:00"/>
    <n v="234291730"/>
    <s v="MOVILIDAD"/>
    <x v="0"/>
    <s v="PN DESAP SA MC 030 2017"/>
    <s v="OCTUBRE"/>
    <d v="2017-10-30T00:00:00"/>
    <d v="2017-11-04T00:00:00"/>
    <d v="2017-12-13T00:00:00"/>
    <s v="DICIEMBRE"/>
    <s v="CUMPLIÓ"/>
    <n v="0"/>
    <s v="38-7-10017-17"/>
    <s v="ID.CO1.BDOS.242475"/>
    <d v="2017-12-13T00:00:00"/>
    <s v="MANTENIMIENTO PREVENTIVO Y CORRECTIVO A TODO COSTO PARA LAS MOTOCICLETAS DEL DEPARTAMENTO DE POLICIA SAN ANDRES, PROVIDENCIA Y SANTA CATALINA Y COMPAÑÍA DE ANTINARCÓTICOS  CONTROL PORTUARIO Y AEROPORTUARIO, UNIDADES DE APOYO EN COMISION TEMPORAL O PERMANENTE."/>
    <s v="900017159-1"/>
    <s v="AREIZA PRIMOS LTDA"/>
    <s v="N/A"/>
    <s v="GILDARDO ANTONIO AREIZA GIL"/>
    <n v="234291730"/>
    <n v="0"/>
    <n v="234291730"/>
    <n v="234291730"/>
    <n v="234291730"/>
    <d v="2017-12-15T00:00:00"/>
    <d v="2018-11-30T00:00:00"/>
    <s v="PAGOS PARCIALES"/>
    <n v="248791730"/>
    <n v="0"/>
    <s v="LIQUIDADO"/>
  </r>
  <r>
    <n v="3"/>
    <s v="DESAP"/>
    <n v="38"/>
    <s v="REGIÓN 1"/>
    <s v="DEPARTAMENTO DE POLICÍA SAN ANDRÉS Y PROVIDENCIA"/>
    <s v="800141053-7"/>
    <s v="DESAP"/>
    <s v="ARCON"/>
    <s v="ADQUISICION E INSUMOS DE IMPRESORAS PARA EL DEPARTAMENTO POLICÍA NACIONAL SAN ANDRES ISLAS"/>
    <n v="257555"/>
    <n v="257555"/>
    <n v="515110"/>
    <m/>
    <n v="515110"/>
    <n v="0"/>
    <d v="2017-11-22T00:00:00"/>
    <d v="2017-12-02T00:00:00"/>
    <n v="515110"/>
    <s v="TELEM"/>
    <x v="1"/>
    <n v="23023"/>
    <s v="NOVIEMBRE"/>
    <d v="2017-11-16T00:00:00"/>
    <d v="2017-12-02T00:00:00"/>
    <s v="04/1272017"/>
    <s v="DICIEMBRE"/>
    <s v="CUMPLIÓ"/>
    <n v="0"/>
    <n v="23023"/>
    <n v="23023"/>
    <d v="2017-12-04T00:00:00"/>
    <s v="ADQUISICION E INSUMOS DE IMPRESORAS PARA EL DEPARTAMENTO POLICÍA NACIONAL SAN ANDRES ISLAS"/>
    <s v="830087030-6"/>
    <s v="S.O.S. SOLUCIONES DE OFICINA &amp; SUMINISTROS S.A.S"/>
    <s v="N/A"/>
    <s v="DIEGO PAVA PIÑERO"/>
    <n v="515110"/>
    <n v="0"/>
    <n v="515110"/>
    <n v="515110"/>
    <n v="515110"/>
    <d v="2017-12-04T00:00:00"/>
    <d v="2018-06-29T00:00:00"/>
    <s v="CONTRA ENTREGA "/>
    <n v="515110"/>
    <n v="0"/>
    <s v="LIQUIDADO"/>
  </r>
  <r>
    <n v="4"/>
    <s v="DESAP"/>
    <n v="38"/>
    <s v="REGIÓN 1"/>
    <s v="DEPARTAMENTO DE POLICÍA SAN ANDRÉS Y PROVIDENCIA"/>
    <s v="800141053-7"/>
    <s v="DESAP"/>
    <s v="ARCON"/>
    <s v="ADQUISICION E INSUMOS DE IMPRESORAS PARA EL DEPARTAMENTO POLICÍA NACIONAL SAN ANDRES ISLAS"/>
    <n v="7445723.3700000001"/>
    <n v="284033.61"/>
    <n v="7729756.9800000004"/>
    <m/>
    <n v="7729756.9800000004"/>
    <n v="0"/>
    <d v="2017-11-22T00:00:00"/>
    <d v="2017-12-02T00:00:00"/>
    <n v="7729756.9800000004"/>
    <s v="TELEM"/>
    <x v="1"/>
    <n v="23024"/>
    <s v="NOVIEMBRE"/>
    <d v="2017-11-16T00:00:00"/>
    <d v="2017-12-02T00:00:00"/>
    <d v="2017-12-04T00:00:00"/>
    <s v="DICIEMBRE"/>
    <s v="CUMPLIÓ"/>
    <n v="0"/>
    <n v="23024"/>
    <n v="23024"/>
    <d v="2017-12-04T00:00:00"/>
    <s v="ADQUISICION E INSUMOS DE IMPRESORAS PARA EL DEPARTAMENTO POLICÍA NACIONAL SAN ANDRES ISLAS"/>
    <s v="811021363-0"/>
    <s v="UNIPLES S.A"/>
    <s v="N/A"/>
    <s v="CARLOS MARIO ESCOBAR ORTIZ"/>
    <n v="7729756.9800000004"/>
    <m/>
    <n v="7729756.9800000004"/>
    <n v="7729756.9800000004"/>
    <n v="7729756.9800000004"/>
    <d v="2017-12-04T00:00:00"/>
    <d v="2018-06-29T00:00:00"/>
    <s v="CONTRA ENTREGA "/>
    <n v="7348650.1300000008"/>
    <n v="0"/>
    <s v="LIQUIDADO"/>
  </r>
  <r>
    <n v="5"/>
    <s v="DESAP"/>
    <n v="38"/>
    <s v="REGIÓN 1"/>
    <s v="DEPARTAMENTO DE POLICÍA SAN ANDRÉS Y PROVIDENCIA"/>
    <s v="800141053-7"/>
    <s v="DESAP"/>
    <s v="ARCON"/>
    <s v="ADQUISICION E INSUMOS DE IMPRESORAS PARA EL DEPARTAMENTO POLICÍA NACIONAL SAN ANDRES ISLAS"/>
    <n v="2165427"/>
    <n v="247555"/>
    <n v="2412982"/>
    <m/>
    <n v="2412982"/>
    <n v="0"/>
    <d v="2017-11-22T00:00:00"/>
    <d v="2017-12-02T00:00:00"/>
    <n v="2412982"/>
    <s v="TELEM"/>
    <x v="1"/>
    <n v="23025"/>
    <s v="NOVIEMBRE"/>
    <d v="2017-11-16T00:00:00"/>
    <d v="2017-12-02T00:00:00"/>
    <d v="2017-12-04T00:00:00"/>
    <s v="DICIEMBRE"/>
    <s v="CUMPLIÓ"/>
    <n v="0"/>
    <n v="23025"/>
    <n v="23025"/>
    <d v="2017-12-04T00:00:00"/>
    <s v="ADQUISICION E INSUMOS DE IMPRESORAS PARA EL DEPARTAMENTO POLICÍA NACIONAL SAN ANDRES ISLAS"/>
    <s v="830087030-6"/>
    <s v="S.O.S. SOLUCIONES DE OFICINA &amp; SUMINISTROS S.A.S"/>
    <s v="N/A"/>
    <s v="DIEGO PAVA PIÑERO"/>
    <n v="2412982"/>
    <m/>
    <n v="2412982"/>
    <n v="2412982"/>
    <n v="2412982"/>
    <d v="2017-12-04T00:00:00"/>
    <d v="2018-06-29T00:00:00"/>
    <s v="CONTRA ENTREGA "/>
    <n v="2412982"/>
    <n v="0"/>
    <s v="LIQUIDADO"/>
  </r>
  <r>
    <n v="6"/>
    <s v="DESAP"/>
    <n v="38"/>
    <s v="REGIÓN 1"/>
    <s v="DEPARTAMENTO DE POLICÍA SAN ANDRÉS Y PROVIDENCIA"/>
    <s v="800141053-7"/>
    <s v="DESAP"/>
    <s v="ARCON"/>
    <s v="MANTENIMIENTO PREVENTIVO Y CORRECTIVO A TODO COSTO PARA EL EQUIPO AUTOMOTOR Y LANCHA DEL DEPARTAMENTO DE POLICIA SAN ANDRES, PROVIDENCIA Y SANTA CATALINA Y COMPAÑÍA DE ANTINARCÓTICOS  CONTROL PORTUARIO Y AEROPORTUARIO, UNIDADES DE APOYO EN COMISION TEMPORAL O PERMANENTE"/>
    <n v="260749165.53999999"/>
    <n v="45474674"/>
    <n v="306223839.53999996"/>
    <m/>
    <n v="306223839.53999996"/>
    <n v="0"/>
    <d v="2017-11-17T00:00:00"/>
    <d v="2017-11-20T00:00:00"/>
    <n v="306223839.54000002"/>
    <s v="MOVILIDAD"/>
    <x v="0"/>
    <s v="PN DESAP SA MC 033 2017"/>
    <s v="NOVIEMBRE"/>
    <d v="2017-11-17T00:00:00"/>
    <d v="2017-11-20T00:00:00"/>
    <d v="2017-12-21T00:00:00"/>
    <s v="DICIEMBRE"/>
    <s v="CUMPLIÓ"/>
    <n v="0"/>
    <s v="38-7-10019-17"/>
    <s v="ID.CO1.BDOS.249901"/>
    <d v="2017-12-21T00:00:00"/>
    <s v="MANTENIMIENTO PREVENTIVO Y CORRECTIVO A TODO COSTO PARA EL EQUIPO AUTOMOTOR Y LANCHA DEL DEPARTAMENTO DE POLICIA SAN ANDRES, PROVIDENCIA Y SANTA CATALINA Y COMPAÑÍA DE ANTINARCÓTICOS  CONTROL PORTUARIO Y AEROPORTUARIO, UNIDADES DE APOYO EN COMISION TEMPORAL O PERMANENTE"/>
    <s v="900017159-1"/>
    <s v="TALLER AREIZA PRIMOS LTDA"/>
    <s v="N/A"/>
    <s v="GILDARDO ANTONIO AREIZA GIL"/>
    <n v="306223839.54000002"/>
    <m/>
    <n v="306223839.54000002"/>
    <n v="306223839.54000002"/>
    <n v="306223839.54000002"/>
    <d v="2017-12-22T00:00:00"/>
    <d v="2018-10-31T00:00:00"/>
    <s v="PAGOS PARCIALES"/>
    <n v="405975002.54000002"/>
    <n v="0"/>
    <s v="LIQUIDADO"/>
  </r>
  <r>
    <n v="7"/>
    <s v="DESAP"/>
    <n v="38"/>
    <s v="REGIÓN 1"/>
    <s v="DEPARTAMENTO DE POLICÍA SAN ANDRÉS Y PROVIDENCIA"/>
    <s v="800141053-7"/>
    <s v="DESAP"/>
    <s v="ARCON"/>
    <s v="PRODUCTOS DE CAFETERIA Y RESTAURANTE PARA EL DEPARTAMENTO DE POLICIA SAN ANDRES, PROVIDENCIA Y SANTA CATALINA"/>
    <n v="7000000"/>
    <m/>
    <n v="7000000"/>
    <m/>
    <n v="7000000"/>
    <n v="0"/>
    <d v="2018-02-09T00:00:00"/>
    <d v="2018-02-15T00:00:00"/>
    <n v="7000000"/>
    <s v="LOGISTICA"/>
    <x v="2"/>
    <s v="PN DESAP MIC 004 2018"/>
    <s v="FEBRERO"/>
    <d v="2018-02-09T00:00:00"/>
    <d v="2018-02-15T00:00:00"/>
    <d v="2018-02-27T00:00:00"/>
    <s v="FEBRERO"/>
    <s v="NO CUMPLIÓ"/>
    <n v="0"/>
    <s v="38-8-10002-18"/>
    <s v="ID.CO1.BDOS.355152"/>
    <s v="27/0272018"/>
    <s v="PRODUCTOS DE CAFETERIA Y RESTAURANTE PARA EL DEPARTAMENTO DE POLICIA SAN ANDRES, PROVIDENCIA Y SANTA CATALINA"/>
    <s v="900811148-6"/>
    <s v="G 6 A BUSSINES ASOCIATION S.A.S"/>
    <s v="N/A"/>
    <s v="LUCAS ALBERTO ARIZA DE A ROSA"/>
    <n v="7000000"/>
    <m/>
    <n v="7000000"/>
    <n v="7000000"/>
    <n v="7000000"/>
    <d v="2018-03-01T00:00:00"/>
    <d v="2018-12-25T00:00:00"/>
    <s v="PAGOS PARCIALES"/>
    <n v="7000000"/>
    <n v="0"/>
    <s v="LIQUIDADO"/>
  </r>
  <r>
    <n v="8"/>
    <s v="DESAP"/>
    <n v="38"/>
    <s v="REGIÓN 1"/>
    <s v="DEPARTAMENTO DE POLICÍA SAN ANDRÉS Y PROVIDENCIA"/>
    <s v="800141053-7"/>
    <s v="DESAP"/>
    <s v="ARCON"/>
    <s v="SERVICIO DE ALIMENTACION PARA EL PERSONAL ADSCRITO AL DEPARTAMENTO DE POLICIA SAN ANDRES, PROVIDENCIA Y SANTA CATALINA, EN LAS DIFERENTES ACTIVIDADES OPERATIVAS ADMINISTRATIVAS Y LAS ELECCIONES DE CONGRESISTAS, PRIMERA Y SEGUNDA VUELTA PRESIDENCIAL"/>
    <n v="27666666"/>
    <m/>
    <n v="27666666"/>
    <m/>
    <n v="27666666"/>
    <n v="0"/>
    <d v="2018-02-06T00:00:00"/>
    <d v="2018-02-09T00:00:00"/>
    <n v="27666666"/>
    <s v="LOGISTICA"/>
    <x v="2"/>
    <s v="PN DESAP MIC 005 2018"/>
    <s v="FEBRERO"/>
    <d v="2018-02-06T00:00:00"/>
    <d v="2018-02-09T00:00:00"/>
    <d v="2018-02-23T00:00:00"/>
    <s v="FEBRERO"/>
    <s v="CUMPLIÓ"/>
    <n v="0"/>
    <s v="38-7-10001-18"/>
    <s v="ID.CO1.BDOS.352002"/>
    <d v="2018-02-23T00:00:00"/>
    <s v="SERVICIO DE ALIMENTACION PARA EL PERSONAL ADSCRITO AL DEPARTAMENTO DE POLICIA SAN ANDRES, PROVIDENCIA Y SANTA CATALINA, EN LAS DIFERENTES ACTIVIDADES OPERATIVAS ADMINISTRATIVAS Y LAS ELECCIONES DE CONGRESISTAS, PRIMERA Y SEGUNDA VUELTA PRESIDENCIAL"/>
    <n v="40985765"/>
    <s v="ALEIDA ROSA FIGUEROA MESINO"/>
    <s v="N/A"/>
    <s v="ALEIDA ROSA FIGUEROA MESINO"/>
    <n v="27666666"/>
    <m/>
    <n v="27666666"/>
    <n v="27666666"/>
    <n v="27666666"/>
    <d v="2018-03-01T00:00:00"/>
    <d v="2018-12-25T00:00:00"/>
    <s v="PAGOS PARCIALES"/>
    <n v="27666666"/>
    <n v="0"/>
    <s v="LIQUIDADO"/>
  </r>
  <r>
    <n v="9"/>
    <s v="DESAP"/>
    <n v="38"/>
    <s v="REGIÓN 1"/>
    <s v="DEPARTAMENTO DE POLICÍA SAN ANDRÉS Y PROVIDENCIA"/>
    <s v="800141053-7"/>
    <s v="DESAP"/>
    <s v="ARCON"/>
    <s v="PRESTACION DEL SERVICIO DE CORREO, MENSAJERIA Y PAQUETERA PARA EL DEPARTAMENTO DE POLICIA SAN ANDRES, PROVIDENCIA Y SANTA CATALINA"/>
    <n v="1000000"/>
    <m/>
    <n v="1000000"/>
    <m/>
    <n v="1000000"/>
    <n v="0"/>
    <d v="2018-01-26T00:00:00"/>
    <d v="2018-01-29T00:00:00"/>
    <n v="1000000"/>
    <s v="TAHUM"/>
    <x v="1"/>
    <n v="25683"/>
    <s v="ENERO "/>
    <s v="29/0172018"/>
    <d v="2018-01-29T00:00:00"/>
    <d v="2018-02-20T00:00:00"/>
    <s v="FEBRERO"/>
    <s v="CUMPLIÓ"/>
    <n v="0"/>
    <n v="25683"/>
    <n v="25683"/>
    <d v="2018-02-20T00:00:00"/>
    <s v="PRESTACION DEL SERVICIO DE CORREO, MENSAJERIA Y PAQUETERA PARA EL DEPARTAMENTO DE POLICIA SAN ANDRES, PROVIDENCIA Y SANTA CATALINA”"/>
    <n v="9000629179"/>
    <s v="SERVICIOS POSTALES NACIONALES S.A"/>
    <s v="N/A"/>
    <s v="JUAN MANUEÑ REYES ALVAREZ"/>
    <n v="1000000"/>
    <m/>
    <n v="1000000"/>
    <n v="1000000"/>
    <n v="1000000"/>
    <d v="2018-02-20T00:00:00"/>
    <d v="2018-12-25T00:00:00"/>
    <s v="PAGOS PARCIALES"/>
    <n v="978728.4"/>
    <n v="0"/>
    <s v="LIQUIDADO"/>
  </r>
  <r>
    <n v="10"/>
    <s v="DESAP"/>
    <n v="38"/>
    <s v="REGIÓN 1"/>
    <s v="DEPARTAMENTO DE POLICÍA SAN ANDRÉS Y PROVIDENCIA"/>
    <s v="800141053-7"/>
    <s v="DESAP"/>
    <s v="ARCON"/>
    <s v="SERVICIO DE ASEO Y MANTENIMIENTO A LAS INSTALACIONES DE ALOJAMIENTO EN LAS ZONAS COMUNES DEL PERSONAL QUE INTEGRA COMANDO DEL DEPARTAMENTO DE POLICIA SAN ANDRES, PROVIDENCIA Y SANTA CATALINA FASE 1"/>
    <n v="30000000"/>
    <m/>
    <n v="30000000"/>
    <m/>
    <n v="30000000"/>
    <m/>
    <d v="2018-01-22T00:00:00"/>
    <d v="2018-02-24T00:00:00"/>
    <n v="30000000"/>
    <s v="LOGISTICA"/>
    <x v="1"/>
    <n v="26013"/>
    <s v="FEBRERO"/>
    <d v="2018-02-24T00:00:00"/>
    <d v="2018-03-01T00:00:00"/>
    <d v="2018-03-01T00:00:00"/>
    <s v="MARZO"/>
    <s v="CUMPLIÓ"/>
    <n v="2227560.879999999"/>
    <n v="26013"/>
    <n v="26013"/>
    <d v="2018-03-01T00:00:00"/>
    <s v="SERVICIO DE ASEO Y MANTENIMIENTO A LAS INSTALACIONES DE ALOJAMIENTO EN LAS ZONAS COMUNES DEL PERSONAL QUE INTEGRA COMANDO DEL DEPARTAMENTO DE POLICIA SAN ANDRES, PROVIDENCIA Y SANTA CATALINA FASE 1"/>
    <s v="800093388-2"/>
    <s v="CONSERJES INMOBILIARIOS"/>
    <s v="N/A"/>
    <s v="JORGE ELIECER MURIEL BOTERO"/>
    <n v="27772439.120000001"/>
    <m/>
    <n v="27772439.120000001"/>
    <n v="27772439.120000001"/>
    <n v="27772439.120000001"/>
    <d v="2018-03-01T00:00:00"/>
    <d v="2018-12-31T00:00:00"/>
    <s v="PAGOS PARCIALES"/>
    <n v="27772439.120000001"/>
    <n v="0"/>
    <s v="LIQUIDADO"/>
  </r>
  <r>
    <n v="11"/>
    <s v="DESAP"/>
    <n v="38"/>
    <s v="REGIÓN 1"/>
    <s v="DEPARTAMENTO DE POLICÍA SAN ANDRÉS Y PROVIDENCIA"/>
    <s v="800141053-7"/>
    <s v="DESAP"/>
    <s v="ARCON"/>
    <s v="ACTIVIDADES DE INTEGRACION Y MEJORAMIENTO DE LA CALIDAD DE VIDA-COMPONENTE ASISTENCIA SOCIAL, COMPONENTE RECREACION, PARA EL PERSONAL DEL DEPARTAMENTO DE POLICIA SAN ANDRES, RPOVIDENCIA Y SANTA CATALINA Y ESPECIALIDADES"/>
    <m/>
    <n v="33701000"/>
    <n v="33701000"/>
    <m/>
    <n v="33701000"/>
    <n v="0"/>
    <d v="2018-02-28T00:00:00"/>
    <d v="2018-03-02T00:00:00"/>
    <n v="33701000"/>
    <s v="TAHUM"/>
    <x v="2"/>
    <s v="PN DESAP MIC 007 2018"/>
    <s v="FEBRERO"/>
    <d v="2018-02-28T00:00:00"/>
    <d v="2018-03-02T00:00:00"/>
    <d v="2018-03-13T00:00:00"/>
    <s v="MARZO"/>
    <s v="CUMPLIÓ"/>
    <n v="0"/>
    <s v="38-7-10003-18"/>
    <s v="ID.CO1.PCCNTR.370505"/>
    <d v="2018-03-13T00:00:00"/>
    <s v="ACTIVIDADES DE INTEGRACION Y MEJORAMIENTO DE LA CALIDAD DE VIDA-COMPONENTE ASISTENCIA SOCIAL, COMPONENTE RECREACION, PARA EL PERSONAL DEL DEPARTAMENTO DE POLICIA SAN ANDRES, RPOVIDENCIA Y SANTA CATALINA Y ESPECIALIDADES"/>
    <s v="900162168-8"/>
    <s v="LOPMI SAS"/>
    <s v="N/A"/>
    <s v="FERNANDO TORRES MORENO"/>
    <n v="33701000"/>
    <m/>
    <n v="33701000"/>
    <n v="33701000"/>
    <n v="33701000"/>
    <d v="2018-03-27T00:00:00"/>
    <d v="2018-12-28T00:00:00"/>
    <s v="PAGOS PARCIALES"/>
    <n v="33701000"/>
    <n v="0"/>
    <s v="LIQUIDADO"/>
  </r>
  <r>
    <n v="12"/>
    <s v="DESAP"/>
    <n v="38"/>
    <s v="REGIÓN 1"/>
    <s v="DEPARTAMENTO DE POLICÍA SAN ANDRÉS Y PROVIDENCIA"/>
    <s v="800141053-7"/>
    <s v="DESAP"/>
    <s v="ARCON"/>
    <s v="MANTENIMIENTO A LAS  INSTALACIONES DE ALOJAMIENTO, ESTACION DE BOMBEO Y PLANTA DE TRATAMIENTO DE AGUAS RECIDUALES DEL DEPARTAMENTO DE POLICIA SNA ANDRES, PROVIDENCIA Y SANTA CATALINA"/>
    <n v="575000000"/>
    <m/>
    <n v="575000000"/>
    <m/>
    <n v="575000000"/>
    <n v="0"/>
    <d v="2018-03-18T00:00:00"/>
    <d v="2018-03-18T00:00:00"/>
    <n v="575000000"/>
    <s v="BIENES RAICES"/>
    <x v="3"/>
    <s v="PN DESAP SA MC 010 2018"/>
    <s v="MARZO"/>
    <d v="2018-03-18T00:00:00"/>
    <d v="2018-03-22T00:00:00"/>
    <d v="2018-05-18T00:00:00"/>
    <s v="MAYO"/>
    <s v="CUMPLIÓ"/>
    <n v="0"/>
    <s v="38-6-10005-18"/>
    <s v="ID.CO1.BDS.392459"/>
    <d v="2018-05-18T00:00:00"/>
    <s v="MANTENIMIENTO PREVENTIVO Y CORRECTIVO Y/O MEJORAS LOCATIVAS DE LAS INSTALACIONES ADSCRITAS AL DEPARTAMENTO DE POLICIA SAN ANDRES Y PROVIDENCIA A PRECIOS UNITARIOS FIJOS SIN FORMULA DE REAJUSTE"/>
    <s v="901181496-3"/>
    <s v="CONSORCIO DESAP"/>
    <s v="SI"/>
    <s v="DIEGO ROLANDO GUTIERREZ CASTRO"/>
    <n v="575000000"/>
    <m/>
    <n v="575000000"/>
    <n v="575000000"/>
    <n v="575000000"/>
    <d v="2018-05-18T00:00:00"/>
    <d v="2018-12-31T00:00:00"/>
    <s v="PAGOS PARCIALES"/>
    <n v="620000000"/>
    <n v="0"/>
    <s v="LIQUIDADO"/>
  </r>
  <r>
    <n v="13"/>
    <s v="DESAP"/>
    <n v="38"/>
    <s v="REGIÓN 1"/>
    <s v="DEPARTAMENTO DE POLICÍA SAN ANDRÉS Y PROVIDENCIA"/>
    <s v="800141053-7"/>
    <s v="DESAP"/>
    <s v="ARCON"/>
    <s v="ARRENDAMIENTO DE UN EDIFICIO Y LOTE Y DOS LOCALES PARA LA ESTACION DE POICIA DSAN ANDRES, SECCIONAL DE INVESTIGACION CRIMINAL, SECCIONAL DE INTELIGENCIA POLICIAL, GRUPO DE PREVENCION CIUDADANA GRUPO LOGISTICO Y ABASTECIMIENTO, PARQUEADERO Y ALMACEN DE INTENDENCIA "/>
    <n v="89000000"/>
    <m/>
    <n v="89000000"/>
    <m/>
    <n v="89000000"/>
    <n v="0"/>
    <d v="2018-07-09T00:00:00"/>
    <d v="2018-07-09T00:00:00"/>
    <n v="89000000"/>
    <s v="LOGISTICA"/>
    <x v="4"/>
    <s v="PN DESAP CD 026 2018"/>
    <s v="JULIO"/>
    <d v="2018-07-09T00:00:00"/>
    <d v="2018-07-09T00:00:00"/>
    <d v="2018-07-17T00:00:00"/>
    <s v="JULIO"/>
    <s v="CUMPLIÓ"/>
    <n v="0"/>
    <s v="38-1-10007-18"/>
    <m/>
    <d v="2018-07-16T00:00:00"/>
    <s v="ARRENDAMIENTO DE UN EDIFICIO Y LOTE Y DOS LOCALES PARA LA ESTACION DE POICIA DSAN ANDRES, SECCIONAL DE INVESTIGACION CRIMINAL, SECCIONAL DE INTELIGENCIA POLICIAL, GRUPO DE PREVENCION CIUDADANA GRUPO LOGISTICO Y ABASTECIMIENTO, PARQUEADERO Y ALMACEN DE INTENDENCIA "/>
    <s v="800156530-7"/>
    <s v="ALI WAKED E HIJOS Y COMPAÑÍA S EN C"/>
    <s v="N/A"/>
    <s v="ALI WAKED"/>
    <n v="89000000"/>
    <m/>
    <n v="89000000"/>
    <n v="89000000"/>
    <n v="89000000"/>
    <d v="2018-07-17T00:00:00"/>
    <d v="2018-09-15T00:00:00"/>
    <s v="PAGOS PARCIALES"/>
    <n v="89000000"/>
    <n v="0"/>
    <s v="LIQUIDADO"/>
  </r>
  <r>
    <n v="14"/>
    <s v="DESAP"/>
    <n v="38"/>
    <s v="REGIÓN 1"/>
    <s v="DEPARTAMENTO DE POLICÍA SAN ANDRÉS Y PROVIDENCIA"/>
    <s v="800141053-7"/>
    <s v="DESAP"/>
    <s v="ARCON"/>
    <s v="ARRENDAMIENTO DE EDIFICIO PARA FUNCIONAMIENTO DEL COMANDO DEL COMANDO DE POLICIA SAN ANDRES, PROVIDENCIA Y SANTA CATALINA"/>
    <n v="64000000"/>
    <m/>
    <n v="64000000"/>
    <m/>
    <n v="64000000"/>
    <m/>
    <d v="2018-07-09T00:00:00"/>
    <d v="2018-07-09T00:00:00"/>
    <n v="64000000"/>
    <s v="LOGISTICA"/>
    <x v="4"/>
    <s v="PN DESAP CD 027 2018"/>
    <s v="JULIO"/>
    <d v="2018-07-09T00:00:00"/>
    <d v="2018-07-09T00:00:00"/>
    <d v="2018-07-17T00:00:00"/>
    <s v="JULIO"/>
    <s v="CUMPLIÓ"/>
    <n v="0"/>
    <s v="38-1-10008-18"/>
    <m/>
    <d v="2018-07-16T00:00:00"/>
    <s v="ARRENDAMIENTO DE EDIFICIO PARA FUNCIONAMIENTO DEL COMANDO DEL COMANDO DE POLICIA SAN ANDRES, PROVIDENCIA Y SANTA CATALINA"/>
    <n v="19071686"/>
    <s v="YOUSSEF NIME HOUSNI"/>
    <s v="N/A"/>
    <s v="YOUSSEF NIME HOUSNI"/>
    <n v="64000000"/>
    <m/>
    <n v="64000000"/>
    <n v="64000000"/>
    <n v="64000000"/>
    <d v="2018-07-17T00:00:00"/>
    <d v="2018-09-15T00:00:00"/>
    <s v="PAGOS PARCIALES"/>
    <n v="64000000"/>
    <n v="0"/>
    <s v="LIQUIDADO"/>
  </r>
  <r>
    <n v="15"/>
    <s v="DESAP"/>
    <n v="38"/>
    <s v="REGIÓN 1"/>
    <s v="DEPARTAMENTO DE POLICÍA SAN ANDRÉS Y PROVIDENCIA"/>
    <s v="800141053-7"/>
    <s v="DESAP"/>
    <s v="ARCON"/>
    <s v="ARRENDAMIENTO DE UN EDIFICIO Y LOTE Y DOS LOCALES PARA LA ESTACION DE POLICIA SAN ANDRES, SECCIONAL DE INVESTIGACION CRIMINAL, SECCIONAL DE INTELIGENCIA POLICIAL, GRUPO DE PREVENCION CIUDADANA GRUPO LOGISTICO Y ABASTECIMIENTRO, PARQUEADERO Y ALMACEN DE INTENDENCIA"/>
    <n v="111250000"/>
    <m/>
    <n v="111250000"/>
    <m/>
    <n v="111250000"/>
    <m/>
    <d v="2018-09-14T00:00:00"/>
    <d v="2018-09-24T00:00:00"/>
    <n v="111250000"/>
    <s v="LOGISTICA"/>
    <x v="4"/>
    <s v="PN DESAP CD 030 2018"/>
    <s v="SEPTIEMBRE"/>
    <d v="2018-09-14T00:00:00"/>
    <d v="2018-09-14T00:00:00"/>
    <d v="2018-10-04T00:00:00"/>
    <m/>
    <s v="CUMPLIÓ"/>
    <n v="0"/>
    <s v="38-1-10009-18"/>
    <m/>
    <d v="2018-10-04T00:00:00"/>
    <s v="ARRENDAMIENTO DE UN EDIFICIO Y LOTE Y DOS LOCALES PARA LA ESTACION DE POLICIA SAN ANDRES, SECCIONAL DE INVESTIGACION CRIMINAL, SECCIONAL DE INTELIGENCIA POLICIAL, GRUPO DE PREVENCION CIUDADANA GRUPO LOGISTICO Y ABASTECIMIENTRO, PARQUEADERO Y ALMACEN DE INTENDENCIA"/>
    <s v="800156930-7"/>
    <s v="ALI WAKED E HIJOS Y COMPAÑÍA S EN C"/>
    <s v="N/A"/>
    <s v="ALI WAKED"/>
    <n v="111250000"/>
    <m/>
    <n v="111250000"/>
    <n v="111250000"/>
    <n v="111250000"/>
    <d v="2018-10-04T00:00:00"/>
    <d v="2018-12-18T00:00:00"/>
    <s v="PAGOS PARCIALES"/>
    <n v="111250000"/>
    <n v="0"/>
    <s v="LIQUIDADO"/>
  </r>
  <r>
    <n v="16"/>
    <s v="DESAP"/>
    <n v="38"/>
    <s v="REGIÓN 1"/>
    <s v="DEPARTAMENTO DE POLICÍA SAN ANDRÉS Y PROVIDENCIA"/>
    <s v="800141053-7"/>
    <s v="DESAP"/>
    <s v="ARCON"/>
    <s v="ARRENDAMIENTO DE EDIFICIO PARA FUNCIONAMMIENTO DEL COMANDO DE POLICIA SAN ANDRES, PROVIDENCIA "/>
    <n v="80000000"/>
    <m/>
    <n v="80000000"/>
    <m/>
    <n v="80000000"/>
    <m/>
    <d v="2018-09-14T00:00:00"/>
    <d v="2018-09-22T00:00:00"/>
    <n v="80000000"/>
    <s v="LOGISTICA"/>
    <x v="4"/>
    <s v="PN DESAP CD 031 2018"/>
    <s v="SEPTIEMBRE"/>
    <d v="2018-09-14T00:00:00"/>
    <d v="2018-09-14T00:00:00"/>
    <d v="2018-10-04T00:00:00"/>
    <s v="OCTUBRE"/>
    <s v="CUMPLIÓ"/>
    <n v="0"/>
    <s v="38-1-10010-18"/>
    <m/>
    <d v="2018-10-04T00:00:00"/>
    <s v="ARRENDAMIENTO DE EDIFICIO PARA FUNCIONAMMIENTO DEL COMANDO DE POLICIA SAN ANDRES, PROVIDENCIA "/>
    <n v="19071686"/>
    <s v="YOUSSEF NIME HOUSNI"/>
    <s v="N/A"/>
    <s v="YOUSSEF NIME HOUSNI"/>
    <n v="80000000"/>
    <m/>
    <n v="80000000"/>
    <n v="80000000"/>
    <n v="80000000"/>
    <d v="2018-10-04T00:00:00"/>
    <d v="2018-12-18T00:00:00"/>
    <s v="PAGOS PARCIALES"/>
    <n v="80000000"/>
    <n v="0"/>
    <s v="LIQUIDADO"/>
  </r>
  <r>
    <n v="17"/>
    <s v="DESAP"/>
    <n v="38"/>
    <s v="REGIÓN 1"/>
    <s v="DEPARTAMENTO DE POLICÍA SAN ANDRÉS Y PROVIDENCIA"/>
    <s v="800141053-7"/>
    <s v="DESAP"/>
    <s v="ARCON"/>
    <s v="SERVICIO DE ALIMENTACION Y ALOJAMIENTO PARA EL PERSONAL UNIFORMADO DE APOYO A LOS DISPOSITIVOS PREVENTIVOS, DISUASIVOS Y DE CONTROL ORDENADOS POR EL COMANDO DE DEPARTAMENTO DE POLICIA SAN ANDRES, PROVIDENCIA Y SANTA CATALINA"/>
    <n v="63980000"/>
    <m/>
    <n v="63980000"/>
    <m/>
    <n v="63980000"/>
    <m/>
    <d v="2018-09-06T00:00:00"/>
    <d v="2018-09-12T00:00:00"/>
    <n v="63980000"/>
    <s v="LOGISTICA"/>
    <x v="2"/>
    <s v="PN DESAP MIC 032 201/8"/>
    <s v="SEPTIEMBRE"/>
    <d v="2018-09-06T00:00:00"/>
    <d v="2018-09-06T00:00:00"/>
    <d v="2018-10-16T00:00:00"/>
    <s v="OCTUBRE"/>
    <s v="CUMPLIÓ"/>
    <n v="0"/>
    <s v="38-7-10011-18"/>
    <m/>
    <d v="2018-10-16T00:00:00"/>
    <s v="SERVICIO DE ALIMENTACION Y ALOJAMIENTO PARA EL PERSONAL UNIFORMADO DE APOYO A LOS DISPOSITIVOS PREVENTIVOS, DISUASIVOS Y DE CONTROL ORDENADOS POR EL COMANDO DE DEPARTAMENTO DE POLICIA SAN ANDRES, PROVIDENCIA Y SANTA CATALINA"/>
    <s v="900811148-6"/>
    <s v="G &amp; A BUSSINES ASOCIATION S.A.S"/>
    <s v="N/A"/>
    <s v="LUIS ALBERTO ARIZA DE LA ROSA"/>
    <n v="63980000"/>
    <m/>
    <n v="63980000"/>
    <n v="63980000"/>
    <n v="63980000"/>
    <d v="2018-10-16T00:00:00"/>
    <d v="2018-12-25T00:00:00"/>
    <s v="PAGOS PARCIALES"/>
    <n v="78980000"/>
    <n v="0"/>
    <s v="LIQUIDADO"/>
  </r>
  <r>
    <n v="18"/>
    <s v="DESAP"/>
    <n v="38"/>
    <s v="REGIÓN 1"/>
    <s v="DEPARTAMENTO DE POLICÍA SAN ANDRÉS Y PROVIDENCIA"/>
    <s v="800141053-7"/>
    <s v="DESAP"/>
    <s v="ARCON"/>
    <s v="SUMINISTRO DE ALIMENTOS CONCENTRADOS PARA LA ALIMENTACION DE LOS SEMOVIENTES EQUINOS Y CANINOS ADSCRITOS AL GRUPO DE CARABINEROS Y GUIS CANINOS DEL DEPARTAMENTO DE POLICIA SAN ANDRES, PROVIDENCI Y SANTA CATALINA"/>
    <n v="28483506.98"/>
    <m/>
    <n v="28483506.98"/>
    <m/>
    <n v="28483506.98"/>
    <m/>
    <d v="2017-10-05T00:00:00"/>
    <d v="2017-09-07T00:00:00"/>
    <n v="28474896"/>
    <s v="DICAR"/>
    <x v="2"/>
    <s v="PN DESAP MIC 028 2017"/>
    <s v="OCTUBRE"/>
    <d v="2017-10-05T00:00:00"/>
    <d v="2017-11-01T00:00:00"/>
    <d v="2017-11-24T00:00:00"/>
    <s v="NOVIEMBRE"/>
    <s v="CUMPLIÓ"/>
    <n v="8610.980000000447"/>
    <s v="38-8-10012-17"/>
    <m/>
    <d v="2017-11-24T00:00:00"/>
    <s v="SUMINISTRO DE ALIMENTOS CONCENTRADOS PARA LA ALIMENTACION DE LOS SEMOVIENTES EQUINOS Y CANINOS ADSCRITOS AL GRUPO DE CARABINEROS Y GUIS CANINOS DEL DEPARTAMENTO DE POLICIA SAN ANDRES, PROVIDENCI Y SANTA CATALINA"/>
    <s v="802005636-6"/>
    <s v="GN DISTRIBUCIONES S,A,S"/>
    <s v="N/A"/>
    <s v="ANITA GORDON BENT"/>
    <n v="28474896"/>
    <m/>
    <n v="28474896"/>
    <n v="28474896"/>
    <n v="28474896"/>
    <d v="2017-11-24T00:00:00"/>
    <d v="2018-11-30T00:00:00"/>
    <s v="PAGOS PARCIALES"/>
    <n v="39464440"/>
    <n v="0"/>
    <s v="LIQUIDADO"/>
  </r>
  <r>
    <n v="19"/>
    <s v="DESAP"/>
    <n v="38"/>
    <s v="REGIÓN 1"/>
    <s v="DEPARTAMENTO DE POLICÍA SAN ANDRÉS Y PROVIDENCIA"/>
    <s v="800141053-7"/>
    <s v="DESAP"/>
    <s v="ARCON"/>
    <s v="PROCESO DE COMBUSTIBLE (GADSOLINA CORRIENTE Y ACPM) PARA EL EQUIPO AUTOMOTOR PARA EL DEPARTAMENTO DE POLICIA SANDRES, P´ROVIDENCIA Y SANTA CATALINA, EN CONDICION DE ASIGNACION PERMANENTE O COMISION TEMPORAL, INCLUIDAS LAS DIRECCIONES Y ESPECIALIDADES "/>
    <n v="37200000"/>
    <m/>
    <n v="37200000"/>
    <m/>
    <n v="37200000"/>
    <m/>
    <d v="2018-10-18T00:00:00"/>
    <d v="2018-10-19T00:00:00"/>
    <n v="37200000"/>
    <s v="MOVILIDAD"/>
    <x v="2"/>
    <s v="PN DESAP MIC 040 2018"/>
    <s v="NOVIEMBRE"/>
    <d v="2018-10-18T00:00:00"/>
    <d v="2018-10-19T00:00:00"/>
    <d v="2018-11-01T00:00:00"/>
    <s v="NOVIEMBRE"/>
    <s v="CUMPLIÓ"/>
    <n v="0"/>
    <s v="38-8-10012-18"/>
    <m/>
    <d v="2018-10-30T00:00:00"/>
    <s v="PROCESO DE COMBUSTIBLE (GADSOLINA CORRIENTE Y ACPM) PARA EL EQUIPO AUTOMOTOR PARA EL DEPARTAMENTO DE POLICIA SANDRES, P´ROVIDENCIA Y SANTA CATALINA, EN CONDICION DE ASIGNACION PERMANENTE O COMISION TEMPORAL, INCLUIDAS LAS DIRECCIONES Y ESPECIALIDADES "/>
    <s v="800020672-7"/>
    <s v="AUTO ISLAS S.A.S"/>
    <s v="N/A"/>
    <s v="MELHEN YIDIOS CUETER"/>
    <n v="37200000"/>
    <m/>
    <n v="37200000"/>
    <n v="37200000"/>
    <n v="37200000"/>
    <m/>
    <d v="2018-12-13T00:00:00"/>
    <s v="PAGOS PARCIALES"/>
    <n v="37200000"/>
    <n v="0"/>
    <s v="LIQUIDADO"/>
  </r>
  <r>
    <n v="20"/>
    <s v="DESAP"/>
    <n v="38"/>
    <s v="REGIÓN 1"/>
    <s v="DEPARTAMENTO DE POLICÍA SAN ANDRÉS Y PROVIDENCIA"/>
    <s v="800141053-7"/>
    <s v="DESAP"/>
    <s v="ARCON"/>
    <s v="PROCESO DE MANTENIMIENTO PREVENTIVO Y CORRECTIVO A TODO COSTO PARA LOS VEHICULOS Y LANCHA DEL DEPARTAMENTO DE POLICIA SAN ANDRES, PROVIDENCIA Y SANTA CATALINA, DIRECCIONES ESPECIALIDADES, UNIDADES DE APOYO EN COMISION TEMPORAL O PERMANENTE VIGENCIA 2018"/>
    <n v="66400000"/>
    <m/>
    <n v="66400000"/>
    <m/>
    <n v="66400000"/>
    <m/>
    <d v="2018-10-01T00:00:00"/>
    <d v="2018-10-04T00:00:00"/>
    <n v="66400000"/>
    <s v="MOVILIDAD"/>
    <x v="2"/>
    <s v="PN DESAP MIC 038 2018"/>
    <s v="NOVIEMBRE"/>
    <d v="2018-10-01T00:00:00"/>
    <d v="2018-10-04T00:00:00"/>
    <d v="2018-11-01T00:00:00"/>
    <s v="NOVIEMBRE"/>
    <s v="CUMPLIÓ"/>
    <n v="0"/>
    <s v="38-7-10013-18"/>
    <m/>
    <d v="2018-10-31T00:00:00"/>
    <s v="PROCESO DE MANTENIMIENTO PREVENTIVO Y CORRECTIVO A TODO COSTO PARA LOS VEHICULOS Y LANCHA DEL DEPARTAMENTO DE POLICIA SAN ANDRES, PROVIDENCIA Y SANTA CATALINA, DIRECCIONES ESPECIALIDADES, UNIDADES DE APOYO EN COMISION TEMPORAL O PERMANENTE VIGENCIA 2018"/>
    <s v="900017159-1"/>
    <s v="TALLER AREIZA PRIMOS LTDA"/>
    <s v="N/A"/>
    <s v="GILDARDO ANTONIO AREIZA GIL"/>
    <n v="66400000"/>
    <m/>
    <n v="66400000"/>
    <n v="66400000"/>
    <n v="66400000"/>
    <d v="2018-11-01T00:00:00"/>
    <d v="2018-11-30T00:00:00"/>
    <s v="PAGOS PARCIALES"/>
    <n v="66400000"/>
    <n v="0"/>
    <s v="LIQUIDADO"/>
  </r>
  <r>
    <n v="21"/>
    <s v="DESAP"/>
    <n v="38"/>
    <s v="REGIÓN 1"/>
    <s v="DEPARTAMENTO DE POLICÍA SAN ANDRÉS Y PROVIDENCIA"/>
    <s v="800141053-7"/>
    <s v="DESAP"/>
    <s v="ARCON"/>
    <s v="ARRENDAMIENTO DE INSTALACIONES PARA EL GRUPO DE ANTINARCOTICOS DEL DEPARTAMENTO DE POLICIA SAN ANDRES, PROVIDENCIA Y SANTA CATALINA"/>
    <n v="105963620"/>
    <m/>
    <n v="105963620"/>
    <m/>
    <n v="105963620"/>
    <m/>
    <d v="2018-10-02T00:00:00"/>
    <d v="2018-10-04T00:00:00"/>
    <n v="105963620"/>
    <s v="ANTIN"/>
    <x v="4"/>
    <s v="PN DESAP CD 043 2018"/>
    <s v="OCTUBRE"/>
    <d v="2018-10-15T00:00:00"/>
    <d v="2018-10-17T00:00:00"/>
    <d v="2018-11-01T00:00:00"/>
    <s v="NOVIEMBRE"/>
    <s v="CUMPLIÓ"/>
    <n v="0"/>
    <s v="38-1-10014-18"/>
    <m/>
    <d v="2018-10-31T00:00:00"/>
    <s v="ARRENDAMIENTO DE INSTALACIONES PARA EL GRUPO DE ANTINARCOTICOS DEL DEPARTAMENTO DE POLICIA SAN ANDRES, PROVIDENCIA Y SANTA CATALINA"/>
    <s v="900683113-9"/>
    <s v="INVERSIONES SALCEDO GALLARDO S.AS"/>
    <s v="N/A"/>
    <s v="RUTH YADIRA SALCEDO RODRIGUEZ"/>
    <n v="52981810"/>
    <n v="52981810"/>
    <n v="105963620"/>
    <n v="105963620"/>
    <n v="105963620"/>
    <d v="2018-11-01T00:00:00"/>
    <d v="2019-02-28T00:00:00"/>
    <s v="PAGOS PARCIALES"/>
    <n v="105963620"/>
    <n v="0"/>
    <s v="LIQUIDADO"/>
  </r>
  <r>
    <n v="22"/>
    <s v="DESAP"/>
    <n v="38"/>
    <s v="REGIÓN 1"/>
    <s v="DEPARTAMENTO DE POLICÍA SAN ANDRÉS Y PROVIDENCIA"/>
    <s v="800141053-7"/>
    <s v="DESAP"/>
    <s v="ARCON"/>
    <s v="ADQUISICION DE ELEMENTOS COMO ESTIMULO EN NAVIDAD PARA HIJOS DEL PERSONAL AFILIADO DE BIENESTAR SOCIAL DEL DEPARTAMENTO DE POLICIA SAN ANDRES, PROVIDENCIA Y SANTA CATALINA"/>
    <n v="2821124"/>
    <m/>
    <n v="2821124"/>
    <m/>
    <n v="2821124"/>
    <m/>
    <d v="2018-11-06T00:00:00"/>
    <d v="2018-11-09T00:00:00"/>
    <n v="2821124"/>
    <s v="BIESO"/>
    <x v="2"/>
    <s v="PN DESAP MIC 048 2018"/>
    <s v="NOVIEMBRE"/>
    <d v="2018-11-06T00:00:00"/>
    <d v="2018-11-09T00:00:00"/>
    <d v="2018-11-26T00:00:00"/>
    <s v="NOVIEMBRE"/>
    <s v="CUMPLIÓ"/>
    <n v="0"/>
    <s v="38-2-10015-18"/>
    <m/>
    <d v="2018-11-23T00:00:00"/>
    <s v="ADQUISICION DE ELEMENTOS COMO ESTIMULO EN NAVIDAD PARA HIJOS DEL PERSONAL AFILIADO DE BIENESTAR SOCIAL DEL DEPARTAMENTO DE POLICIA SAN ANDRES, PROVIDENCIA Y SANTA CATALINA"/>
    <s v="98653205-1"/>
    <s v="COMERCIALIZADORA IJD"/>
    <s v="N/A"/>
    <s v="JUAN CARLOS OCHOA BLANDON"/>
    <n v="2821124"/>
    <m/>
    <n v="2821124"/>
    <n v="2821124"/>
    <n v="2821124"/>
    <d v="2018-11-26T00:00:00"/>
    <d v="2018-12-10T00:00:00"/>
    <s v="CONTRA ENTREGA "/>
    <n v="2821124"/>
    <n v="0"/>
    <s v="LIQUIDADO"/>
  </r>
  <r>
    <n v="23"/>
    <s v="DESAP"/>
    <n v="38"/>
    <s v="REGIÓN 1"/>
    <s v="DEPARTAMENTO DE POLICÍA SAN ANDRÉS Y PROVIDENCIA"/>
    <s v="800141053-7"/>
    <s v="DESAP"/>
    <s v="ARCON"/>
    <s v="PROCESO DE COMBUSTIBLE (GADSOLINA CORRIENTE Y ACPM) PARA EL EQUIPO AUTOMOTOR PARA EL DEPARTAMENTO DE POLICIA SANDRES, P´ROVIDENCIA Y SANTA CATALINA, EN CONDICION DE ASIGNACION PERMANENTE O COMISION TEMPORAL, INCLUIDAS LAS DIRECCIONES Y ESPECIALIDADES "/>
    <n v="396849395"/>
    <m/>
    <n v="396849395"/>
    <m/>
    <n v="396849395"/>
    <m/>
    <d v="2018-10-24T00:00:00"/>
    <d v="2018-10-25T00:00:00"/>
    <n v="396849395"/>
    <s v="MOVILIDAD"/>
    <x v="3"/>
    <s v="PN DESAP SA MC 042 2018"/>
    <s v="OCTUBRE"/>
    <d v="2018-11-24T00:00:00"/>
    <d v="2018-11-25T00:00:00"/>
    <d v="2018-12-12T00:00:00"/>
    <s v="DICIEMBRE"/>
    <s v="CUMPLIÓ"/>
    <n v="0"/>
    <s v="38-8-10016-18"/>
    <m/>
    <d v="2018-12-10T00:00:00"/>
    <s v="PROCESO DE COMBUSTIBLE (GADSOLINA CORRIENTE Y ACPM) PARA EL EQUIPO AUTOMOTOR PARA EL DEPARTAMENTO DE POLICIA SANDRES, P´ROVIDENCIA Y SANTA CATALINA, EN CONDICION DE ASIGNACION PERMANENTE O COMISION TEMPORAL, INCLUIDAS LAS DIRECCIONES Y ESPECIALIDADES "/>
    <s v="800020672-7"/>
    <s v="AUTO ISLAS S.A.S "/>
    <s v="N/A"/>
    <s v="MELHEN YIDIOS CUETER"/>
    <n v="37308896"/>
    <n v="359540499"/>
    <n v="396849395"/>
    <n v="396849395"/>
    <n v="396849395"/>
    <d v="2018-12-12T00:00:00"/>
    <d v="2019-10-31T00:00:00"/>
    <s v="PAGOS PARCIALES"/>
    <n v="396849395"/>
    <n v="0"/>
    <s v="LIQUIDADO"/>
  </r>
  <r>
    <n v="24"/>
    <s v="DESAP"/>
    <n v="38"/>
    <s v="REGIÓN 1"/>
    <s v="DEPARTAMENTO DE POLICÍA SAN ANDRÉS Y PROVIDENCIA"/>
    <s v="800141053-7"/>
    <s v="DESAP"/>
    <s v="ARCON"/>
    <s v="ARRENDAMIENTO DE ALOJAMIENTO PARA EL PERSONAL DE OFICIALES QUE INTEGRAN EL COMANDO DE DEPARTAMENTO DE POLICIA SAN ANDRES, PROVIDENCIA Y SANTA CATALINA"/>
    <n v="334768725.80000001"/>
    <m/>
    <n v="328621842.10000002"/>
    <m/>
    <n v="328621842.10000002"/>
    <m/>
    <d v="2018-11-15T00:00:00"/>
    <d v="2018-11-29T00:00:00"/>
    <n v="328621842.10000002"/>
    <s v="LOGISTICA"/>
    <x v="4"/>
    <s v="PN DESAP CD 050 2018"/>
    <s v="NOVIEMBRE"/>
    <d v="2018-11-15T00:00:00"/>
    <d v="2018-11-29T00:00:00"/>
    <d v="2018-12-12T00:00:00"/>
    <s v="DICIEMBRE"/>
    <s v="CUMPLIÓ"/>
    <n v="0"/>
    <s v="38-1-10017-18"/>
    <m/>
    <d v="2018-12-10T00:00:00"/>
    <s v="ARRENDAMIENTO DE ALOJAMIENTO PARA EL PERSONAL DE OFICIALES QUE INTEGRAN EL COMANDO DE DEPARTAMENTO DE POLICIA SAN ANDRES, PROVIDENCIA Y SANTA CATALINA"/>
    <n v="40991861"/>
    <s v="HOSTAL BIG MAMAS HUSE"/>
    <s v="N/A"/>
    <s v="JENNIFFER GENITH ORORZCO SUAREZ"/>
    <n v="44919532.100000001"/>
    <n v="283702310"/>
    <n v="328621842.10000002"/>
    <n v="328621842.10000002"/>
    <n v="328621842.10000002"/>
    <d v="2018-12-13T00:00:00"/>
    <d v="2019-04-30T00:00:00"/>
    <s v="PAGOS PARCIALES"/>
    <n v="328621842.10000002"/>
    <n v="0"/>
    <s v="LIQUIDADO"/>
  </r>
  <r>
    <n v="25"/>
    <s v="DESAP"/>
    <n v="38"/>
    <s v="REGIÓN 1"/>
    <s v="DEPARTAMENTO DE POLICÍA SAN ANDRÉS Y PROVIDENCIA"/>
    <s v="800141053-7"/>
    <s v="DESAP"/>
    <s v="ARCON"/>
    <s v="ADQUISICION DE SEGUROS OBLIGATORIOS DE ACCIDENTES DE TRANSITO (SOAT) PARA LOS VEHICULOS DEL DEPARTAMENTO DE POLICIA SAN ANDRES, PROVIDENCIA Y SANTA CATALINA "/>
    <n v="15317014"/>
    <m/>
    <n v="15317014"/>
    <m/>
    <n v="15317014"/>
    <m/>
    <d v="2018-11-08T00:00:00"/>
    <d v="2018-11-11T00:00:00"/>
    <n v="15317014"/>
    <s v="MOVILIDAD"/>
    <x v="1"/>
    <n v="33333"/>
    <s v="NOVIEMBRE"/>
    <d v="2018-11-08T00:00:00"/>
    <d v="2018-11-11T00:00:00"/>
    <d v="2018-11-26T00:00:00"/>
    <s v="NOVIEMBRE"/>
    <s v="CUMPLIÓ"/>
    <n v="871.07000000029802"/>
    <n v="33333"/>
    <m/>
    <d v="2018-11-22T00:00:00"/>
    <s v="ADQUISICION DE SEGUROS OBLIGATORIOS DE ACCIDENTES DE TRANSITO (SOAT) PARA LOS VEHICULOS DEL DEPARTAMENTO DE POLICIA SAN ANDRES, PROVIDENCIA Y SANTA CATALINA "/>
    <n v="860002400"/>
    <s v="LA PREVISORA S.A."/>
    <s v="N/A"/>
    <s v="MARLENE VALERO"/>
    <n v="15316142.93"/>
    <m/>
    <n v="15316142.93"/>
    <n v="15317014"/>
    <n v="15317014"/>
    <d v="2018-11-22T00:00:00"/>
    <s v="22/11/219"/>
    <s v="PAGOS PARCIALES"/>
    <n v="15316142.93"/>
    <n v="0"/>
    <s v="LIQUIDADO"/>
  </r>
  <r>
    <n v="26"/>
    <s v="DESAP"/>
    <n v="38"/>
    <s v="REGIÓN 1"/>
    <s v="DEPARTAMENTO DE POLICÍA SAN ANDRÉS Y PROVIDENCIA"/>
    <s v="800141053-7"/>
    <s v="DESAP"/>
    <s v="ARCON"/>
    <s v="COMPRA DE EQUIPOS TECNOLOGICOS PARA EL FORTALECIMIENTO DE LA EMISORA RADIO POLICIA NACIONAL SAN ANDRES"/>
    <n v="38624000"/>
    <m/>
    <n v="38624000"/>
    <m/>
    <n v="38624000"/>
    <m/>
    <d v="2018-11-27T00:00:00"/>
    <d v="2018-12-06T00:00:00"/>
    <n v="40000000"/>
    <s v="COEST"/>
    <x v="2"/>
    <s v="PN DESAP MIC 055 2018"/>
    <s v="NOVIEMBRE"/>
    <d v="2018-11-27T00:00:00"/>
    <d v="2018-12-06T00:00:00"/>
    <d v="2018-12-17T00:00:00"/>
    <s v="DICIEMBRE"/>
    <s v="CUMPLIÓ"/>
    <n v="0"/>
    <s v="38-2-10018-18"/>
    <m/>
    <d v="2018-12-14T00:00:00"/>
    <s v="COMPRA DE EQUIPOS TECNOLOGICOS PARA EL FORTALECIMIENTO DE LA EMISORA RADIO POLICIA NACIONAL SAN ANDRES"/>
    <s v="900228350-8"/>
    <s v="COMUNICACIONES CIRT LTDA"/>
    <s v="N/A"/>
    <s v="LUZ MARINA TINJACA DE LOZANO"/>
    <n v="38624000"/>
    <m/>
    <n v="38624000"/>
    <n v="38624000"/>
    <n v="38624000"/>
    <d v="2018-12-17T00:00:00"/>
    <d v="2018-12-27T00:00:00"/>
    <s v="CONTRA ENTREGA "/>
    <n v="39917000"/>
    <n v="0"/>
    <s v="LIQUIDADO"/>
  </r>
  <r>
    <n v="27"/>
    <s v="DESAP"/>
    <n v="38"/>
    <s v="REGIÓN 1"/>
    <s v="DEPARTAMENTO DE POLICÍA SAN ANDRÉS Y PROVIDENCIA"/>
    <s v="800141053-7"/>
    <s v="DESAP"/>
    <s v="ARCON"/>
    <s v="SUMINISTRO DE ALIMENTOS CONCENTRADOS PARA LA ALIMENTACION DE LOS SEMOVIENTES EQUINOS Y CANINOS ADSCRITOS AL GRUPO DE CARABINEROS Y GUIS CANINOS DEL DEPARTAMENTO DE POLICIA SAN ANDRES, PROVIDENCI Y SANTA CATALINA"/>
    <n v="22463700"/>
    <m/>
    <n v="22463700"/>
    <m/>
    <n v="22463700"/>
    <m/>
    <d v="2018-12-01T00:00:00"/>
    <d v="2018-12-03T00:00:00"/>
    <n v="4963700"/>
    <s v="DICAR"/>
    <x v="2"/>
    <s v="PN DESAP MIC 056 2018"/>
    <s v="DICIEMBRE"/>
    <d v="2018-12-01T00:00:00"/>
    <d v="2018-12-03T00:00:00"/>
    <d v="2018-12-18T00:00:00"/>
    <s v="DICIEMBRE "/>
    <s v="CUMPLIÓ"/>
    <n v="68400"/>
    <s v="38-8-10019-18"/>
    <m/>
    <d v="2018-12-14T00:00:00"/>
    <s v="SUMINISTRO DE ALIMENTOS CONCENTRADOS PARA LA ALIMENTACION DE LOS SEMOVIENTES EQUINOS Y CANINOS ADSCRITOS AL GRUPO DE CARABINEROS Y GUIS CANINOS DEL DEPARTAMENTO DE POLICIA SAN ANDRES, PROVIDENCI Y SANTA CATALINA"/>
    <s v="802005636-6"/>
    <s v="GN DISTRIBUCIONES S,A,S"/>
    <s v="N/A"/>
    <s v="GUSTAVO ALONSO PALACIO ORTIZ"/>
    <n v="4963700"/>
    <n v="17431600"/>
    <n v="22395300"/>
    <n v="22395300"/>
    <n v="22395300"/>
    <d v="2018-12-18T00:00:00"/>
    <d v="2019-07-31T00:00:00"/>
    <s v="PAGOS PARCIALES"/>
    <n v="22395300"/>
    <n v="0"/>
    <s v="LIQUIDADO"/>
  </r>
  <r>
    <n v="28"/>
    <s v="DESAP"/>
    <n v="38"/>
    <s v="REGIÓN 1"/>
    <s v="DEPARTAMENTO DE POLICÍA SAN ANDRÉS Y PROVIDENCIA"/>
    <s v="800141053-7"/>
    <s v="DESAP"/>
    <s v="ARCON"/>
    <s v="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"/>
    <n v="417388717.83999997"/>
    <m/>
    <n v="417388717.83999997"/>
    <m/>
    <n v="417388717.83999997"/>
    <m/>
    <d v="2018-11-15T00:00:00"/>
    <d v="2018-11-16T00:00:00"/>
    <n v="417388717.83999997"/>
    <s v="MOVILIDAD"/>
    <x v="3"/>
    <s v="PN DESAP SA MC 051"/>
    <s v="NOVIEMBRE"/>
    <d v="2018-11-15T00:00:00"/>
    <d v="2018-11-16T00:00:00"/>
    <d v="2018-12-20T00:00:00"/>
    <s v="DICIEMBRE"/>
    <s v="CUMPLIÓ"/>
    <n v="0"/>
    <s v="38-7-10020-18"/>
    <m/>
    <d v="2018-12-19T00:00:00"/>
    <s v="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"/>
    <s v="900017159-1"/>
    <s v="TALLER AREIZA PRIMOS LTDA"/>
    <s v="N/A"/>
    <s v="GILDARDO ANTONIO AREIZA GIL"/>
    <n v="31391320"/>
    <n v="385997397.83999997"/>
    <n v="417388717.83999997"/>
    <n v="417388717.83999997"/>
    <n v="417388717.83999997"/>
    <d v="2018-12-20T00:00:00"/>
    <d v="2019-07-31T00:00:00"/>
    <s v="PAGOS PARCIALES"/>
    <n v="371931836.83999997"/>
    <n v="0"/>
    <s v="LIQUIDADO"/>
  </r>
  <r>
    <n v="29"/>
    <s v="DESAP"/>
    <n v="38"/>
    <s v="REGIÓN 1"/>
    <s v="DEPARTAMENTO DE POLICÍA SAN ANDRÉS Y PROVIDENCIA"/>
    <s v="800141053-7"/>
    <s v="DESAP"/>
    <s v="ARCON"/>
    <s v="ADQUISICIÓN DE PAPELERÍA, Y UTENSILIOS DE ESCRITORIO Y OFICINA PARA EL DEPARTAMENTO DE POLICÍA SAN ANDRÉS, PROVIDENCIA Y SANTA CATALINA VIGENCIA 2019_x000a_"/>
    <n v="10000000"/>
    <m/>
    <n v="10000000"/>
    <m/>
    <n v="10000000"/>
    <m/>
    <d v="2019-03-15T00:00:00"/>
    <d v="2019-03-12T00:00:00"/>
    <n v="10000000"/>
    <s v="TELEM"/>
    <x v="2"/>
    <s v="PN DESAP MIC 005 2019"/>
    <s v="MARZO"/>
    <d v="2019-03-14T00:00:00"/>
    <d v="2019-03-15T00:00:00"/>
    <d v="2019-04-05T00:00:00"/>
    <s v="ABRIL"/>
    <s v="CUMPLIO"/>
    <n v="0"/>
    <s v="38-2-10003-19"/>
    <m/>
    <d v="2019-03-18T00:00:00"/>
    <s v="ADQUISICIÓN DE PAPELERÍA, Y UTENSILIOS DE ESCRITORIO Y OFICINA PARA EL DEPARTAMENTO DE POLICÍA SAN ANDRÉS, PROVIDENCIA Y SANTA CATALINA VIGENCIA 2019_x000a_"/>
    <s v="901014140-2"/>
    <s v="AR &amp; G INGENIERIA S.A.S"/>
    <s v="N/A"/>
    <s v="ANDRES LEONARDO GUTIERREZ CASTRO"/>
    <n v="10000000"/>
    <m/>
    <n v="10000000"/>
    <n v="10000000"/>
    <n v="10000000"/>
    <d v="2019-04-08T00:00:00"/>
    <d v="2019-05-07T00:00:00"/>
    <s v="CONTRA ENTREGA "/>
    <n v="10000000"/>
    <n v="0"/>
    <s v="LIQUIDADO"/>
  </r>
  <r>
    <n v="30"/>
    <s v="DESAP"/>
    <n v="38"/>
    <s v="REGIÓN 1"/>
    <s v="DEPARTAMENTO DE POLICÍA SAN ANDRÉS Y PROVIDENCIA"/>
    <s v="800141053-7"/>
    <s v="DESAP"/>
    <s v="ARCON"/>
    <s v="SERVICIO DE ASEO Y MANTENIMIENTO A LAS  INSTALACIONES DE ALOJAMIENTO, OFICINAS Y ZONAS COMUNES DEL PERSONAL QUE INTEGRA COMANDO DEPARTAMENTO DE POLICIA SAN ANDRES, PROVIDENCIA Y SANTA CATALINA FASE 1 - FASE 2 - FASE 3_x000a_"/>
    <n v="120000000"/>
    <m/>
    <n v="120000000"/>
    <m/>
    <n v="120000000"/>
    <m/>
    <d v="2019-02-07T00:00:00"/>
    <d v="2019-02-08T00:00:00"/>
    <n v="120000000"/>
    <s v="LOGISTICA"/>
    <x v="1"/>
    <n v="35989"/>
    <s v="FEBRERO"/>
    <d v="2019-02-07T00:00:00"/>
    <s v="08/20/2019"/>
    <d v="2019-03-01T00:00:00"/>
    <s v="MARZO"/>
    <s v="CUMPLIO"/>
    <n v="4882120.9399999976"/>
    <n v="35989"/>
    <m/>
    <d v="2019-02-19T00:00:00"/>
    <s v="SERVICIO DE ASEO Y MANTENIMIENTO A LAS  INSTALACIONES DE ALOJAMIENTO, OFICINAS Y ZONAS COMUNES DEL PERSONAL QUE INTEGRA COMANDO DEPARTAMENTO DE POLICIA SAN ANDRES, PROVIDENCIA Y SANTA CATALINA FASE 1 - FASE 2 - FASE 3_x000a_"/>
    <s v="800093388-2"/>
    <s v="CONSERJES INMOBILIARIOS"/>
    <s v="N/A"/>
    <s v="JORGE ELIECER MURIEL BOTERO"/>
    <n v="115117879.06"/>
    <m/>
    <n v="115117879.06"/>
    <n v="115117879.06"/>
    <n v="115117879.06"/>
    <d v="2019-03-01T00:00:00"/>
    <d v="2018-12-31T00:00:00"/>
    <s v="PAGOS PARCIALES"/>
    <n v="115117879.06"/>
    <n v="0"/>
    <s v="LIQUIDADO"/>
  </r>
  <r>
    <n v="31"/>
    <s v="DESAP"/>
    <n v="38"/>
    <s v="REGIÓN 1"/>
    <s v="DEPARTAMENTO DE POLICÍA SAN ANDRÉS Y PROVIDENCIA"/>
    <s v="800141053-7"/>
    <s v="DESAP"/>
    <s v="ARCON"/>
    <s v="ARRENDAMIENTO DE INSTALACIONES PARA EL GRUPO DE ANTINARCOTICOS DEL DEPARTAMENTO DE POLICIA SAN ANDRES, PROVIDENCIA Y SANTA CATALINA VIGIENCIA 2018 - 2019_x000a_"/>
    <n v="207000000"/>
    <m/>
    <n v="207000000"/>
    <m/>
    <n v="207000000"/>
    <m/>
    <d v="2019-02-08T00:00:00"/>
    <d v="2019-02-15T00:00:00"/>
    <n v="207000000"/>
    <s v="ANTIN"/>
    <x v="4"/>
    <s v="PN DESAP CD 002 2019"/>
    <s v="FEBRERO"/>
    <d v="2019-02-15T00:00:00"/>
    <d v="2019-02-15T00:00:00"/>
    <d v="2019-03-01T00:00:00"/>
    <s v="MARZO"/>
    <s v="CUMPLIO"/>
    <n v="0"/>
    <s v="38-1-10001-19"/>
    <m/>
    <d v="2019-02-21T00:00:00"/>
    <s v="ARRENDAMIENTO DE INSTALACIONES PARA EL GRUPO DE ANTINARCOTICOS DEL DEPARTAMENTO DE POLICIA SAN ANDRES, PROVIDENCIA Y SANTA CATALINA _x000a_"/>
    <s v="900683113-9"/>
    <s v="INVERSIONES SALCEDO GALLARDO S.AS"/>
    <s v="N/A"/>
    <s v="RUTH YADIRA SALCEDO RODRIGUEZ"/>
    <n v="207000000"/>
    <m/>
    <n v="207000000"/>
    <n v="207000000"/>
    <n v="207000000"/>
    <d v="2019-03-01T00:00:00"/>
    <d v="2019-11-30T00:00:00"/>
    <s v="PAGOS PARCIALES"/>
    <n v="207000000"/>
    <n v="0"/>
    <s v="LIQUIDADO"/>
  </r>
  <r>
    <n v="32"/>
    <s v="DESAP"/>
    <n v="38"/>
    <s v="REGIÓN 1"/>
    <s v="DEPARTAMENTO DE POLICÍA SAN ANDRÉS Y PROVIDENCIA"/>
    <s v="800141053-7"/>
    <s v="DESAP"/>
    <s v="ARCON"/>
    <s v="SERVICIO DE SEGUROS DE ACCIDENTES PERSONALES PARA EL PERSONAL DEL DEPARTAMENTO DE POLICIA SAN ANDRES, PROVIDENCIA Y SNATA CATALINA_x000a_"/>
    <n v="70000000"/>
    <m/>
    <n v="0"/>
    <m/>
    <n v="0"/>
    <m/>
    <d v="2019-02-15T00:00:00"/>
    <d v="2019-02-20T00:00:00"/>
    <n v="0"/>
    <s v="MOVILIDAD"/>
    <x v="2"/>
    <s v="PN DESAP MIC 001 2019"/>
    <s v="FEBRERO"/>
    <d v="2019-02-15T00:00:00"/>
    <d v="2019-02-20T00:00:00"/>
    <m/>
    <s v="MARZO"/>
    <m/>
    <n v="0"/>
    <m/>
    <m/>
    <d v="2019-02-21T00:00:00"/>
    <s v="SERVICIO DE SEGUROS DE ACCIDENTES PERSONALES PARA EL PERSONAL DEL DEPARTAMENTO DE POLICIA SAN ANDRES, PROVIDENCIA Y SNATA CATALINA_x000a_"/>
    <m/>
    <m/>
    <m/>
    <m/>
    <m/>
    <m/>
    <n v="0"/>
    <m/>
    <m/>
    <m/>
    <m/>
    <m/>
    <m/>
    <n v="0"/>
    <s v="DESIERTO"/>
  </r>
  <r>
    <n v="33"/>
    <s v="DESAP"/>
    <n v="38"/>
    <s v="REGIÓN 1"/>
    <s v="DEPARTAMENTO DE POLICÍA SAN ANDRÉS Y PROVIDENCIA"/>
    <s v="800141053-7"/>
    <s v="DESAP"/>
    <s v="ARCON"/>
    <s v="SERVICIO DE SEGUROS DE ACCIDENTES PERSONALES PARA EL PERSONAL DEL DEPARTAMENTO DE POLICIA SAN ANDRES, PROVIDENCIA Y SNATA CATALINA_x000a_"/>
    <n v="70000000"/>
    <m/>
    <n v="0"/>
    <m/>
    <n v="0"/>
    <m/>
    <d v="2019-03-07T00:00:00"/>
    <d v="2019-03-11T00:00:00"/>
    <n v="0"/>
    <s v="MOVILIDAD"/>
    <x v="2"/>
    <s v="PN DESAP MIC 004 2019"/>
    <s v="MARZO"/>
    <d v="2019-03-07T00:00:00"/>
    <d v="2019-03-11T00:00:00"/>
    <m/>
    <s v="MARZO"/>
    <m/>
    <n v="0"/>
    <m/>
    <m/>
    <d v="2019-03-11T00:00:00"/>
    <s v="SERVICIO DE SEGUROS DE ACCIDENTES PERSONALES PARA EL PERSONAL DEL DEPARTAMENTO DE POLICIA SAN ANDRES, PROVIDENCIA Y SNATA CATALINA_x000a_"/>
    <m/>
    <m/>
    <m/>
    <m/>
    <m/>
    <m/>
    <n v="0"/>
    <m/>
    <m/>
    <m/>
    <m/>
    <m/>
    <m/>
    <m/>
    <s v="DESIERTO"/>
  </r>
  <r>
    <n v="34"/>
    <s v="DESAP"/>
    <n v="38"/>
    <s v="REGIÓN 1"/>
    <s v="DEPARTAMENTO DE POLICÍA SAN ANDRÉS Y PROVIDENCIA"/>
    <s v="800141053-7"/>
    <s v="DESAP"/>
    <s v="ARCON"/>
    <s v="KIT ACCESORIOS DE PRIMEROS AUXILIOS Y EMERGENCIAS PARA EL DEPARTAMENTO DE POLICIA SAN ANDRES, PROVIDENCIA Y SANTA CATALINA_x000a_"/>
    <n v="15000000"/>
    <m/>
    <n v="15000000"/>
    <m/>
    <n v="15000000"/>
    <m/>
    <d v="2019-03-12T00:00:00"/>
    <d v="2019-03-07T00:00:00"/>
    <n v="15000000"/>
    <s v="LOGISTICA"/>
    <x v="2"/>
    <s v="PN DESAP MIC 003 2019"/>
    <s v="MARZO"/>
    <d v="2019-03-12T00:00:00"/>
    <d v="2019-03-12T00:00:00"/>
    <d v="2019-04-05T00:00:00"/>
    <s v="ABRIL"/>
    <s v="CUMPLIO"/>
    <n v="0"/>
    <s v="38-2-10002-19"/>
    <m/>
    <d v="2019-03-12T00:00:00"/>
    <s v="KIT ACCESORIOS DE PRIMEROS AUXILIOS Y EMERGENCIAS PARA EL DEPARTAMENTO DE POLICIA SAN ANDRES, PROVIDENCIA Y SANTA CATALINA_x000a_"/>
    <s v="901014140-2"/>
    <s v="AR &amp; G INGENIERIA S.A.S"/>
    <s v="N/A"/>
    <s v="ANDRES LEONARDO GUTIERREZ CASTRO"/>
    <n v="15000000"/>
    <m/>
    <n v="15000000"/>
    <n v="15000000"/>
    <n v="15000000"/>
    <d v="2019-04-08T00:00:00"/>
    <d v="2019-05-07T00:00:00"/>
    <s v="CONTRA ENTREGA "/>
    <n v="15000000"/>
    <n v="0"/>
    <s v="LIQUIDADO"/>
  </r>
  <r>
    <n v="35"/>
    <s v="DESAP"/>
    <n v="38"/>
    <s v="REGIÓN 1"/>
    <s v="DEPARTAMENTO DE POLICÍA SAN ANDRÉS Y PROVIDENCIA"/>
    <s v="800141053-7"/>
    <s v="DESAP"/>
    <s v="ARCON"/>
    <s v="ELEMENTOS DE ASEO Y LIMPIEZA PARA EL DEPARTAMENTO DE POLICIA SAN ANDRES, PROVIDENCIA Y SANTA CATALINA_x000a_"/>
    <n v="30000000"/>
    <m/>
    <n v="0"/>
    <m/>
    <n v="0"/>
    <m/>
    <m/>
    <m/>
    <m/>
    <s v="LOGISTICA"/>
    <x v="2"/>
    <m/>
    <s v="MARZO"/>
    <m/>
    <m/>
    <m/>
    <m/>
    <m/>
    <n v="0"/>
    <m/>
    <m/>
    <m/>
    <s v="ELEMENTOS DE ASEO Y LIMPIEZA PARA EL DEPARTAMENTO DE POLICIA SAN ANDRES, PROVIDENCIA Y SANTA CATALINA_x000a_"/>
    <m/>
    <m/>
    <m/>
    <m/>
    <m/>
    <m/>
    <n v="0"/>
    <m/>
    <m/>
    <m/>
    <m/>
    <m/>
    <m/>
    <n v="0"/>
    <s v="NO SE REALIZA "/>
  </r>
  <r>
    <n v="36"/>
    <s v="DESAP"/>
    <n v="38"/>
    <s v="REGIÓN 1"/>
    <s v="DEPARTAMENTO DE POLICÍA SAN ANDRÉS Y PROVIDENCIA"/>
    <s v="800141053-7"/>
    <s v="DESAP"/>
    <s v="ARCON"/>
    <s v="SERVICIO DE CORREO Y MENSAJERIA PARA EL DEPARTAMENTO DE POLICIA SAN ANDRES, PROVIDENCIA Y SANTA CATALINA_x000a_"/>
    <n v="3700000"/>
    <m/>
    <n v="3700000"/>
    <m/>
    <n v="3700000"/>
    <m/>
    <d v="2019-02-15T00:00:00"/>
    <d v="2019-02-18T00:00:00"/>
    <n v="3700000"/>
    <s v="TAHUM"/>
    <x v="1"/>
    <n v="36261"/>
    <s v="MARZO"/>
    <d v="2019-02-15T00:00:00"/>
    <d v="2019-02-18T00:00:00"/>
    <d v="2019-03-10T00:00:00"/>
    <s v="MARZO"/>
    <s v="CUMPLIO"/>
    <n v="2095679.5"/>
    <n v="36261"/>
    <m/>
    <d v="2019-02-20T00:00:00"/>
    <s v="SERVICIO DE CORREO Y MENSAJERIA PARA EL DEPARTAMENTO DE POLICIA SAN ANDRES, PROVIDENCIA Y SANTA CATALINA_x000a_"/>
    <n v="9000629179"/>
    <s v="SERVICIOS POSTALES NACIONALES S.A"/>
    <s v="N/A"/>
    <s v="JUAN MANUEÑ REYES ALVAREZ"/>
    <n v="1604320.5"/>
    <m/>
    <n v="1604320.5"/>
    <n v="1604320.5"/>
    <n v="1604320.5"/>
    <d v="2019-03-10T00:00:00"/>
    <d v="2019-12-25T00:00:00"/>
    <s v="PAGOS PARCIALES"/>
    <n v="1604320.5"/>
    <n v="0"/>
    <s v="LIQUIDADO"/>
  </r>
  <r>
    <n v="37"/>
    <s v="DESAP"/>
    <n v="38"/>
    <s v="REGIÓN 1"/>
    <s v="DEPARTAMENTO DE POLICÍA SAN ANDRÉS Y PROVIDENCIA"/>
    <s v="800141053-7"/>
    <s v="DESAP"/>
    <s v="ARCON"/>
    <s v="TRABAJOS TIPOGRAFICOS EN CUMPLIMIENTO AL PLAN DE ACCION 2019_x000a_"/>
    <n v="75067000"/>
    <m/>
    <n v="75067000"/>
    <m/>
    <n v="75067000"/>
    <m/>
    <d v="2019-07-30T00:00:00"/>
    <d v="2019-08-12T00:00:00"/>
    <n v="75067000"/>
    <s v="COEST"/>
    <x v="2"/>
    <s v="PN DESAP MIC 022 2019"/>
    <s v="JULIO"/>
    <d v="2019-07-23T00:00:00"/>
    <d v="2019-08-12T00:00:00"/>
    <d v="2019-08-28T00:00:00"/>
    <s v="AGOSTO"/>
    <s v="CUMPLIO"/>
    <n v="0"/>
    <s v="38-7-10008-19"/>
    <m/>
    <d v="2019-08-23T00:00:00"/>
    <s v="TRABAJOS TIPOGRAFICOS EN CUMPLIMIENTO AL PLAN DE ACCION 2019_x000a_"/>
    <s v="900305563-1"/>
    <s v="IMPRIDEAS S.A.S"/>
    <s v="N/A"/>
    <s v="PAULA ANDREA HURTADO BETANCUR"/>
    <n v="75067000"/>
    <m/>
    <n v="75067000"/>
    <n v="75067000"/>
    <n v="75067000"/>
    <d v="2019-08-29T00:00:00"/>
    <d v="2019-12-31T00:00:00"/>
    <s v="PAGOS PARCIALES"/>
    <n v="75067000"/>
    <n v="0"/>
    <s v="LIQUIDADO"/>
  </r>
  <r>
    <n v="38"/>
    <s v="DESAP"/>
    <n v="38"/>
    <s v="REGIÓN 1"/>
    <s v="DEPARTAMENTO DE POLICÍA SAN ANDRÉS Y PROVIDENCIA"/>
    <s v="800141053-7"/>
    <s v="DESAP"/>
    <s v="ARCON"/>
    <s v="ADQUISICION DE SEGURO OBLIGATORIO  DE ACCIDENTES DE TRANSITO (SOAT) PARA LOS VEHICULOS DEL DEPARTAMENTO DE POLICIA SAN ANDRES, PROVIDENCIA Y SANTA CATALINA  "/>
    <n v="70000000"/>
    <m/>
    <n v="0"/>
    <m/>
    <n v="0"/>
    <m/>
    <d v="2019-03-26T00:00:00"/>
    <d v="2019-03-27T00:00:00"/>
    <n v="0"/>
    <s v="MOVILIDAD"/>
    <x v="2"/>
    <s v="PN DESAP MIC 008 2019"/>
    <s v="ABRIL "/>
    <d v="2019-03-26T00:00:00"/>
    <d v="2019-03-26T00:00:00"/>
    <m/>
    <m/>
    <m/>
    <n v="0"/>
    <m/>
    <m/>
    <d v="2019-03-28T00:00:00"/>
    <s v="ADQUISICION DE SEGURO OBLIGATORIO  DE ACCIDENTES DE TRANSITO (SOAT) PARA LOS VEHICULOS DEL DEPARTAMENTO DE POLICIA SAN ANDRES, PROVIDENCIA Y SANTA CATALINA  "/>
    <m/>
    <m/>
    <m/>
    <m/>
    <m/>
    <m/>
    <n v="0"/>
    <m/>
    <m/>
    <m/>
    <m/>
    <m/>
    <m/>
    <m/>
    <s v="DESIERTO"/>
  </r>
  <r>
    <n v="39"/>
    <s v="DESAP"/>
    <n v="38"/>
    <s v="REGIÓN 1"/>
    <s v="DEPARTAMENTO DE POLICÍA SAN ANDRÉS Y PROVIDENCIA"/>
    <s v="800141053-7"/>
    <s v="DESAP"/>
    <s v="ARCON"/>
    <s v="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"/>
    <n v="8750000"/>
    <n v="13000000"/>
    <n v="21750000"/>
    <m/>
    <n v="21750000"/>
    <m/>
    <d v="2019-03-26T00:00:00"/>
    <d v="2019-03-28T00:00:00"/>
    <n v="21750000"/>
    <s v="SETRA - SEPRO - DERHU"/>
    <x v="5"/>
    <s v="PN DESAP SA MC 051"/>
    <s v="MARZO"/>
    <d v="2019-03-26T00:00:00"/>
    <d v="2019-03-26T00:00:00"/>
    <d v="2019-03-28T00:00:00"/>
    <s v="MARZO"/>
    <s v="CUMPLIO"/>
    <n v="0"/>
    <s v="38-7-10020-18"/>
    <m/>
    <d v="2019-03-29T00:00:00"/>
    <s v="PROCESO DE MANTENIMIENTO PREVENTIVO Y CORRECTIVO A TODO COSTO PARA LOS VEHICULOS, MOTOCICLETAS Y LANCHA DEL DEPARTAMENTO DE POLICIA SAN ANDRES, PROVIDENCIA Y SANTA CATALINA Y COMPAÑÍA DE ANTINARCOTICOS CONTROL PORTUARIO Y AEROPORTUARIO, DIRECCIONES ESPECIALIDADES, UNIDADES DE APOYO EN COMISION TEMPORAL O PERMANENTE APALANCAMIENTO 2018 Y VIGENCIA FUTURA 2019"/>
    <s v="900017159-1"/>
    <s v="TALLER AREIZA PRIMOS LTDA"/>
    <s v="N/A"/>
    <s v="GILDARDO ANTONIO AREIZA GIL"/>
    <n v="21750000"/>
    <m/>
    <n v="21750000"/>
    <n v="21750000"/>
    <n v="21750000"/>
    <s v="30/03/219"/>
    <d v="2019-07-31T00:00:00"/>
    <s v="PAGOS PARCIALES"/>
    <n v="21750000"/>
    <n v="0"/>
    <s v="LIQUIDADO"/>
  </r>
  <r>
    <n v="40"/>
    <s v="DESAP"/>
    <n v="38"/>
    <s v="REGIÓN 1"/>
    <s v="DEPARTAMENTO DE POLICÍA SAN ANDRÉS Y PROVIDENCIA"/>
    <s v="800141053-7"/>
    <s v="DESAP"/>
    <s v="ARCON"/>
    <s v="PROCESO DE COMBUSTIBLE (GADSOLINA CORRIENTE Y ACPM) PARA EL EQUIPO AUTOMOTOR PARA EL DEPARTAMENTO DE POLICIA SANDRES, P´ROVIDENCIA Y SANTA CATALINA, EN CONDICION DE ASIGNACION PERMANENTE O COMISION TEMPORAL, INCLUIDAS LAS DIRECCIONES Y ESPECIALIDADES "/>
    <n v="3600000"/>
    <n v="4000000"/>
    <n v="7600000"/>
    <m/>
    <n v="7600000"/>
    <m/>
    <d v="2019-03-26T00:00:00"/>
    <d v="2019-03-28T00:00:00"/>
    <n v="7600000"/>
    <s v="SETRA - SEPRO - DERHU"/>
    <x v="5"/>
    <s v="PN DESAP SA MC 042 2018"/>
    <s v="MARZO"/>
    <d v="2019-03-26T00:00:00"/>
    <d v="2019-03-26T00:00:00"/>
    <d v="2019-03-28T00:00:00"/>
    <s v="MARZO"/>
    <s v="CUMPLIO"/>
    <n v="0"/>
    <s v="38-8-10016-18"/>
    <m/>
    <d v="2019-03-29T00:00:00"/>
    <s v="PROCESO DE COMBUSTIBLE (GADSOLINA CORRIENTE Y ACPM) PARA EL EQUIPO AUTOMOTOR PARA EL DEPARTAMENTO DE POLICIA SANDRES, P´ROVIDENCIA Y SANTA CATALINA, EN CONDICION DE ASIGNACION PERMANENTE O COMISION TEMPORAL, INCLUIDAS LAS DIRECCIONES Y ESPECIALIDADES "/>
    <s v="800020672-7"/>
    <s v="AUTO ISLAS S.A.S "/>
    <s v="N/A"/>
    <s v="MELHEN YIDIOS CUETER"/>
    <n v="7600000"/>
    <m/>
    <n v="7600000"/>
    <n v="7600000"/>
    <n v="7600000"/>
    <s v="30/03/219"/>
    <d v="2019-07-31T00:00:00"/>
    <s v="PAGOS PARCIALES"/>
    <n v="7600000"/>
    <n v="0"/>
    <s v="LIQUIDADO"/>
  </r>
  <r>
    <n v="41"/>
    <s v="DESAP"/>
    <n v="38"/>
    <s v="REGIÓN 1"/>
    <s v="DEPARTAMENTO DE POLICÍA SAN ANDRÉS Y PROVIDENCIA"/>
    <s v="800141053-7"/>
    <s v="DESAP"/>
    <s v="ARCON"/>
    <s v="ACTIVIDADES DE INTEGRACION Y MEJORAMIENTO DE LA CALIDAD DE VIDA-COMPONENTE ASISTENCIA SOCIAL, COMPONENTE RECREACION, PARA EL PERSONAL DEL DEPARTAMENTO DE POLICIA SAN ANDRES, RPOVIDENCIA Y SANTA CATALINA Y ESPECIALIDADES"/>
    <m/>
    <n v="0"/>
    <n v="0"/>
    <m/>
    <n v="0"/>
    <m/>
    <m/>
    <m/>
    <n v="0"/>
    <s v="TAHUM"/>
    <x v="2"/>
    <m/>
    <m/>
    <m/>
    <m/>
    <m/>
    <s v="ABRIL"/>
    <s v="CUMPLIO"/>
    <n v="0"/>
    <m/>
    <m/>
    <m/>
    <m/>
    <m/>
    <m/>
    <m/>
    <m/>
    <m/>
    <m/>
    <n v="0"/>
    <m/>
    <m/>
    <m/>
    <m/>
    <m/>
    <m/>
    <m/>
    <s v="NO SE REALIZA "/>
  </r>
  <r>
    <n v="42"/>
    <s v="DESAP"/>
    <n v="38"/>
    <s v="REGIÓN 1"/>
    <s v="DEPARTAMENTO DE POLICÍA SAN ANDRÉS Y PROVIDENCIA"/>
    <s v="800141053-7"/>
    <s v="DESAP"/>
    <s v="ARCON"/>
    <s v="ADQUISICION DE SEGURO OBLIGATORIO  DE ACCIDENTES DE TRANSITO (SOAT) PARA LOS VEHICULOS DEL DEPARTAMENTO DE POLICIA SAN ANDRES, PROVIDENCIA Y SANTA CATALINA  "/>
    <n v="70000000"/>
    <m/>
    <n v="0"/>
    <m/>
    <n v="0"/>
    <m/>
    <d v="2019-04-09T00:00:00"/>
    <d v="2019-04-10T00:00:00"/>
    <n v="0"/>
    <s v="MOVILIDAD"/>
    <x v="2"/>
    <s v="PN DESAP MIC 009 2019"/>
    <s v="ABRIL "/>
    <d v="2019-04-09T00:00:00"/>
    <d v="2019-04-09T00:00:00"/>
    <d v="2019-04-26T00:00:00"/>
    <s v="ABRIL"/>
    <m/>
    <n v="0"/>
    <m/>
    <m/>
    <d v="2019-04-10T00:00:00"/>
    <s v="ADQUISICION DE SEGURO OBLIGATORIO  DE ACCIDENTES DE TRANSITO (SOAT) PARA LOS VEHICULOS DEL DEPARTAMENTO DE POLICIA SAN ANDRES, PROVIDENCIA Y SANTA CATALINA  "/>
    <m/>
    <m/>
    <m/>
    <m/>
    <m/>
    <m/>
    <n v="0"/>
    <m/>
    <m/>
    <m/>
    <m/>
    <m/>
    <m/>
    <m/>
    <s v="DESIERTO"/>
  </r>
  <r>
    <n v="43"/>
    <s v="DESAP"/>
    <n v="38"/>
    <s v="REGIÓN 1"/>
    <s v="DEPARTAMENTO DE POLICÍA SAN ANDRÉS Y PROVIDENCIA"/>
    <s v="800141053-7"/>
    <s v="DESAP"/>
    <s v="ARCON"/>
    <s v="ARRENDAMIENTO DE UNOS APATAMENTOS PARA EL PERSONAL DE OFICIALES Y SUBOFICIAL QUE INTEGRAN EL COMANDO DE DEPARTAMENTO DE POLCIIA SAN ANDRES, PROVIDENCIA Y SANTA CATALINA PARA LA VIGIENCIA 2019_x000a_"/>
    <n v="365905054.30000001"/>
    <m/>
    <n v="365905054.30000001"/>
    <m/>
    <n v="365905054.30000001"/>
    <m/>
    <d v="2019-04-18T00:00:00"/>
    <d v="2019-04-24T00:00:00"/>
    <n v="365905054.30000001"/>
    <s v="LOGISTICA"/>
    <x v="4"/>
    <s v="PN DESAP CD 012 2019"/>
    <s v="ABRIL "/>
    <d v="2019-04-18T00:00:00"/>
    <d v="2019-04-18T00:00:00"/>
    <d v="2019-05-01T00:00:00"/>
    <s v="MAYO"/>
    <s v="CUMPLIO"/>
    <n v="0"/>
    <s v="38-1-10012-19"/>
    <m/>
    <d v="2019-04-24T00:00:00"/>
    <s v="ARRENDAMIENTO DE UNOS APARTAMENTOS PARA EL PERSONAL DE OFICIALES Y SUBOFICIAL QUE INTEGRAN EL COMANDO DE DEPARTAMENTO DE POLCIIA SAN ANDRES, PROVIDENCIA Y SANTA CATALINA PARA LA VIGIENCIA 2019_x000a_"/>
    <n v="40991861"/>
    <s v="HOSTAL BIG MAMAS HUSE"/>
    <s v="N/A"/>
    <s v="JENNIFFER GENITH ORORZCO SUAREZ"/>
    <n v="365905054.30000001"/>
    <m/>
    <n v="365905054.30000001"/>
    <n v="365905054.30000001"/>
    <n v="365905054.30000001"/>
    <d v="2019-05-01T00:00:00"/>
    <d v="2019-09-30T00:00:00"/>
    <s v="PAGOS PARCIALES"/>
    <n v="365905054.30000001"/>
    <n v="0"/>
    <s v="LIQUIDADO"/>
  </r>
  <r>
    <n v="44"/>
    <s v="DESAP"/>
    <n v="38"/>
    <s v="REGIÓN 1"/>
    <s v="DEPARTAMENTO DE POLICÍA SAN ANDRÉS Y PROVIDENCIA"/>
    <s v="800141053-7"/>
    <s v="DESAP"/>
    <s v="ARCON"/>
    <s v="ADQUISICION DE SEGURO OBLIGATORIO  DE ACCIDENTES DE TRANSITO (SOAT) PARA LOS VEHICULOS DEL DEPARTAMENTO DE POLICIA SAN ANDRES, PROVIDENCIA Y SANTA CATALINA  "/>
    <n v="70000000"/>
    <m/>
    <n v="70000000"/>
    <m/>
    <n v="70000000"/>
    <m/>
    <d v="2019-04-24T00:00:00"/>
    <d v="2019-04-25T00:00:00"/>
    <n v="70000000"/>
    <s v="MOVILIDAD"/>
    <x v="2"/>
    <s v="PN DESAP MIC 013 2019"/>
    <s v="ABRIL "/>
    <d v="2019-04-24T00:00:00"/>
    <d v="2019-04-24T00:00:00"/>
    <d v="2019-05-08T00:00:00"/>
    <s v="MAYO"/>
    <s v="CUMPLIO"/>
    <n v="1593600"/>
    <s v="38-8-10005-19"/>
    <m/>
    <d v="2019-04-25T00:00:00"/>
    <s v="ADQUISICION DE SEGURO OBLIGATORIO  DE ACCIDENTES DE TRANSITO (SOAT) PARA LOS VEHICULOS DEL DEPARTAMENTO DE POLICIA SAN ANDRES, PROVIDENCIA Y SANTA CATALINA  "/>
    <s v="860002400-2"/>
    <s v="LA PREVISORA S.A."/>
    <s v="N/A"/>
    <s v="RAFAEL ARMANDO RODRIGUEZ MENDEZ"/>
    <n v="68406400"/>
    <m/>
    <n v="68406400"/>
    <n v="68406400"/>
    <n v="68406400"/>
    <d v="2019-05-08T00:00:00"/>
    <d v="2019-12-31T00:00:00"/>
    <s v="PAGOS PARCIALES"/>
    <n v="68406400"/>
    <n v="0"/>
    <s v="LIQUIDADO"/>
  </r>
  <r>
    <n v="45"/>
    <s v="DESAP"/>
    <n v="38"/>
    <s v="REGIÓN 1"/>
    <s v="DEPARTAMENTO DE POLICÍA SAN ANDRÉS Y PROVIDENCIA"/>
    <s v="800141053-7"/>
    <s v="DESAP"/>
    <s v="ARCON"/>
    <s v="ADQUISICION E INSUMOS PARA IMPRESORAS DEL DEPARTAMENTO DE POLICIA SAN ANDRES, PROVIDENICIA Y SANTA CATALINA VIGENCIA 2019."/>
    <n v="40000000"/>
    <m/>
    <n v="40000000"/>
    <m/>
    <n v="40000000"/>
    <m/>
    <d v="2019-05-16T00:00:00"/>
    <d v="2019-05-21T00:00:00"/>
    <n v="40000000"/>
    <s v="TELEM"/>
    <x v="2"/>
    <s v="PN DESAP MIC 016 2019"/>
    <s v="FEBRERO"/>
    <d v="2019-05-16T00:00:00"/>
    <d v="2019-05-17T00:00:00"/>
    <d v="2019-06-13T00:00:00"/>
    <s v="JUNIO"/>
    <s v="CUMPLIO"/>
    <n v="0"/>
    <s v="38-8-10006-19"/>
    <m/>
    <d v="2019-05-21T00:00:00"/>
    <s v="ADQUISICION E INSUMOS PARA IMPRESORAS DEL DEPARTAMENTO DE POLICIA SAN ANDRES, PROVIDENICIA Y SANTA CATALINA VIGENCIA 2019."/>
    <s v="900589201-7"/>
    <s v="KANDERI GROUP S.A.S."/>
    <s v="N/A"/>
    <s v="ERIKA JINETH QUINTERO ENCISO"/>
    <n v="40000000"/>
    <m/>
    <n v="40000000"/>
    <n v="40000000"/>
    <n v="40000000"/>
    <d v="2019-06-13T00:00:00"/>
    <d v="2019-12-31T00:00:00"/>
    <s v="PAGOS PARCIALES"/>
    <n v="40000000"/>
    <n v="0"/>
    <s v="LIQUIDADO"/>
  </r>
  <r>
    <n v="48"/>
    <s v="DESAP"/>
    <n v="38"/>
    <s v="REGIÓN 1"/>
    <s v="DEPARTAMENTO DE POLICÍA SAN ANDRÉS Y PROVIDENCIA"/>
    <s v="800141053-7"/>
    <s v="DESAP"/>
    <s v="ARCON"/>
    <s v="MANTENIMIENTO PREVENTIVO Y CORRECTIVO A TODO COSTO PARA LOS VEHICULOS, MOTOCICLETA Y LANCHA DEL DEPARTAMENTO DE POLICIA SAN ANDRES, PROVIDENCIA Y SANTA CATALINA VIGENCIA 2019. _x000a_"/>
    <n v="162125000"/>
    <m/>
    <n v="162125000"/>
    <m/>
    <n v="162125000"/>
    <m/>
    <d v="2019-06-18T00:00:00"/>
    <d v="2019-06-20T00:00:00"/>
    <n v="168125000"/>
    <s v="MOVILIDAD - ANTIN-SETRA-DERHU"/>
    <x v="5"/>
    <s v="PN DESAP SA MC 051 2018"/>
    <s v="JUNIO"/>
    <d v="2019-06-18T00:00:00"/>
    <d v="2019-06-20T00:00:00"/>
    <d v="2019-08-01T00:00:00"/>
    <s v="AGOSTO"/>
    <s v="CUMPLIO"/>
    <n v="0"/>
    <s v="38-7-10020-18"/>
    <m/>
    <d v="2019-06-27T00:00:00"/>
    <s v="MANTENIMIENTO PREVENTIVO Y CORRECTIVO A TODO COSTO PARA LOS VEHICULOS, MOTOCICLETA Y LANCHA DEL DEPARTAMENTO DE POLICIA SAN ANDRES, PROVIDENCIA Y SANTA CATALINA VIGENCIA 2019. _x000a_"/>
    <s v="900017159-1"/>
    <s v="TALLER AREIZA PRIMOS LTDA"/>
    <s v="N/A"/>
    <s v="GILDARDO ANTONIO AREIZA GIL"/>
    <n v="162125000"/>
    <m/>
    <n v="162125000"/>
    <n v="162125000"/>
    <n v="162125000"/>
    <d v="2019-08-01T00:00:00"/>
    <d v="2019-10-31T00:00:00"/>
    <s v="PAGOS PARCIALES"/>
    <n v="162125000"/>
    <n v="0"/>
    <s v="LIQUIDADO"/>
  </r>
  <r>
    <n v="49"/>
    <s v="DESAP"/>
    <n v="38"/>
    <s v="REGIÓN 1"/>
    <s v="DEPARTAMENTO DE POLICÍA SAN ANDRÉS Y PROVIDENCIA"/>
    <s v="800141053-7"/>
    <s v="DESAP"/>
    <s v="ARCON"/>
    <s v="ALIMENTO CONCENTRADO PARA EQUINOS DE TRABAJO BULTO X 40 KG_x000a_"/>
    <n v="7332100"/>
    <m/>
    <n v="7332100"/>
    <m/>
    <n v="7332100"/>
    <m/>
    <d v="2019-06-21T00:00:00"/>
    <d v="2019-06-22T00:00:00"/>
    <n v="7332100"/>
    <s v="GRUCA"/>
    <x v="5"/>
    <s v="PN DESAP MIC 056 2018"/>
    <s v="JULIO"/>
    <d v="2019-06-21T00:00:00"/>
    <d v="2019-06-22T00:00:00"/>
    <d v="2019-08-01T00:00:00"/>
    <s v="AGOSTO"/>
    <s v="CUMPLIO"/>
    <n v="0"/>
    <s v="38-8-10019-18"/>
    <m/>
    <d v="2019-07-05T00:00:00"/>
    <s v="ALIMENTO CONCENTRADO PARA EQUINOS DE TRABAJO BULTO X 40 KG_x000a_"/>
    <s v="802005636-6"/>
    <s v="G.N DISTRIBUCIONES S.A.S"/>
    <s v="N/A"/>
    <s v="GUSTAVO ALONSO PALACIO ORTIZ"/>
    <n v="7332100"/>
    <m/>
    <n v="7332100"/>
    <n v="7332100"/>
    <n v="7332100"/>
    <d v="2019-08-01T00:00:00"/>
    <d v="2019-10-31T00:00:00"/>
    <s v="PAGOS PARCIALES"/>
    <n v="7332100"/>
    <n v="0"/>
    <s v="LIQUIDADO"/>
  </r>
  <r>
    <n v="50"/>
    <s v="DESAP"/>
    <n v="38"/>
    <s v="REGIÓN 1"/>
    <s v="DEPARTAMENTO DE POLICÍA SAN ANDRÉS Y PROVIDENCIA"/>
    <s v="800141053-7"/>
    <s v="DESAP"/>
    <s v="ARCON"/>
    <s v="MANTENIMIENTO PREVENTIVO Y CORRECTIVO Y/O MEJORAS LOCATIVAS DE LAS INSTALACIONES ADSCRITAS AL DEPARTAMENTO DE POLICÍA SAN ANDRÉS Y PROVIDENCIA A PRECIOS UNITARIOS FIJOS SIN FÓRMULA DE REAJUSTE."/>
    <n v="86766484.209999993"/>
    <m/>
    <n v="86766484.209999993"/>
    <m/>
    <n v="86766484.209999993"/>
    <m/>
    <d v="2019-04-23T00:00:00"/>
    <d v="2019-04-23T00:00:00"/>
    <n v="86766484.209999993"/>
    <s v="LOGISTICA"/>
    <x v="3"/>
    <s v="PN DESAP SA MC  014 2019"/>
    <s v="ABRIL "/>
    <d v="2019-04-09T00:00:00"/>
    <d v="2019-04-23T00:00:00"/>
    <d v="2019-08-05T00:00:00"/>
    <s v="AGOSTO"/>
    <s v="CUMPLIO"/>
    <n v="0"/>
    <s v="38-8-10007-19"/>
    <m/>
    <d v="2019-08-08T00:00:00"/>
    <s v="MANTENIMIENTO PREVENTIVO Y CORRECTIVO Y/O MEJORAS LOCATIVAS DE LAS INSTALACIONES ADSCRITAS AL DEPARTAMENTO DE POLICÍA SAN ANDRÉS Y PROVIDENCIA A PRECIOS UNITARIOS FIJOS SIN FÓRMULA DE REAJUSTE."/>
    <s v="900520848-4"/>
    <s v="SAFRID INGENIERIA S.A.S"/>
    <s v="N/A"/>
    <s v="MIGUEL ALEXANDER CERON MOLINA"/>
    <n v="86766484.209999993"/>
    <m/>
    <n v="86766484.209999993"/>
    <n v="86766484.209999993"/>
    <n v="86766484.209999993"/>
    <d v="2019-08-14T00:00:00"/>
    <d v="2019-10-13T00:00:00"/>
    <s v="PAGOS PARCIALES"/>
    <n v="86766484.209999993"/>
    <s v=" "/>
    <s v="LIQUIDADO"/>
  </r>
  <r>
    <n v="51"/>
    <s v="DESAP"/>
    <n v="38"/>
    <s v="REGIÓN 1"/>
    <s v="DEPARTAMENTO DE POLICÍA SAN ANDRÉS Y PROVIDENCIA"/>
    <s v="800141053-7"/>
    <s v="DESAP"/>
    <s v=" ARCON"/>
    <s v="SUMINSTRO DE COMBUSTIBLE (GASOLINA CORRIENTE  Y ACPM) PARA LOS VEHICULOS, MOTOCICLETAS Y LANCHA PARA EL DEPARTAMENTO DE POLICIA SAN ANDRES PROVIDENCIA Y SANTA CATALINA, EN CONDICION DE ASIGNACION PERMANENTE O COMISION TEMPORAL, INCLUIDAS LAS DIRECCIONES Y ESPECIALIDADES,AMPARA V.F 2020 $236.500,000,00"/>
    <n v="314602681"/>
    <m/>
    <n v="314602681"/>
    <m/>
    <n v="314602681"/>
    <m/>
    <d v="2019-09-01T00:00:00"/>
    <d v="2019-09-10T00:00:00"/>
    <n v="314602681"/>
    <s v="MOVILIDAD - ANTIN"/>
    <x v="3"/>
    <s v="PN DESA`SA MC 028 2019"/>
    <s v="SEPTIEMBRE"/>
    <d v="2019-09-01T00:00:00"/>
    <d v="2019-09-10T00:00:00"/>
    <d v="2019-10-25T00:00:00"/>
    <s v="OCTUBRE "/>
    <s v="CUMPLIO"/>
    <n v="0"/>
    <s v="38-8-10009-19"/>
    <m/>
    <d v="2019-11-01T00:00:00"/>
    <s v="SUMINSTRO DE COMBUSTIBLE (GASOLINA CORRIENTE  Y ACPM) PARA LOS VEHICULOS, MOTOCICLETAS Y LANCHA PARA EL DEPARTAMENTO DE POLICIA SAN ANDRES PROVIDENCIA Y SANTA CATALINA, EN CONDICION DE ASIGNACION PERMANENTE O COMISION TEMPORAL, INCLUIDAS LAS DIRECCIONES Y ESPECIALIDADES,AMPARA V.F 2020 $236.500,000,00"/>
    <s v="800020672-7"/>
    <s v="AUTO ISLA SAS"/>
    <s v="N/A"/>
    <s v="MELHEN YIDIOS CUETER"/>
    <n v="314602681"/>
    <m/>
    <n v="314602681"/>
    <n v="314602681"/>
    <n v="314602681"/>
    <d v="2019-11-01T00:00:00"/>
    <d v="2020-07-31T00:00:00"/>
    <s v="PAGOS PARCIALES"/>
    <n v="78102681"/>
    <n v="236500000"/>
    <s v="EN EJECUCIÓN"/>
  </r>
  <r>
    <n v="52"/>
    <s v="DESAP"/>
    <n v="38"/>
    <s v="REGIÓN 1"/>
    <s v="DEPARTAMENTO DE POLICÍA SAN ANDRÉS Y PROVIDENCIA"/>
    <s v="800141053-7"/>
    <s v="DESAP"/>
    <s v="ARCON"/>
    <s v="ADICION No. 01 AL CONTRATO PRINCIPAL PN DESAP No. 38-8-10009-19 DE FECHA 30/10/2019, CUYO OBJETO ES EL PROCESO SUMINISTRO DE COMBISTIBLE (GASOLINA CORRIENTE Y ACPM) PARA LOS VEHICULOS, MOTICUCLETAS Y LANCHAS DEL DEPARTAMENTO POLICIASAN ANDRES PROVIDENCIA Y SANTA CATALINA, EN CONDICION DE ASIGNACION PERMANENTE O COMISION TEMPORAL, INCLUIDAS LAS DIRECCIONES Y ESPECIALIDADES. AMPARA VF 2020 $236,500,000,00"/>
    <n v="6900000"/>
    <m/>
    <n v="6900000"/>
    <m/>
    <n v="6900000"/>
    <m/>
    <d v="2019-10-31T00:00:00"/>
    <d v="2019-10-31T00:00:00"/>
    <n v="6900000"/>
    <s v="ESPECIALIDADES"/>
    <x v="5"/>
    <s v="PN DESA`SA MC 028 2019"/>
    <s v="OCTUBRE"/>
    <d v="2019-10-31T00:00:00"/>
    <d v="2019-11-02T00:00:00"/>
    <d v="2019-11-07T00:00:00"/>
    <s v="NOVIEMBRE"/>
    <s v="CUMPLIO"/>
    <n v="0"/>
    <s v="38-8-10009-19"/>
    <m/>
    <d v="2019-11-07T00:00:00"/>
    <s v="ADICION No. 01 AL CONTRATO PRINCIPAL PN DESAP No. 38-8-10009-19 DE FECHA 30/10/2019, CUYO OBJETO ES EL PROCESO SUMINISTRO DE COMBISTIBLE (GASOLINA CORRIENTE Y ACPM) PARA LOS VEHICULOS, MOTICUCLETAS Y LANCHAS DEL DEPARTAMENTO POLICIASAN ANDRES PROVIDENCIA Y SANTA CATALINA, EN CONDICION DE ASIGNACION PERMANENTE O COMISION TEMPORAL, INCLUIDAS LAS DIRECCIONES Y ESPECIALIDADES. AMPARA VF 2020 $236,500,000,00"/>
    <s v="800020672-7"/>
    <s v="AUTO ISLA SAS"/>
    <s v="N/A"/>
    <s v="MELHEN YIDIOS CUETER"/>
    <n v="6900000"/>
    <m/>
    <n v="6900000"/>
    <n v="6900000"/>
    <n v="6900000"/>
    <d v="2019-11-07T00:00:00"/>
    <d v="2019-12-31T00:00:00"/>
    <s v="PAGOS PARCIALES"/>
    <n v="6900000"/>
    <s v="$                                                           -"/>
    <s v="LIQUIDADO"/>
  </r>
  <r>
    <n v="53"/>
    <s v="DESAP"/>
    <n v="38"/>
    <s v="REGIÓN 1"/>
    <s v="DEPARTAMENTO DE POLICÍA SAN ANDRÉS Y PROVIDENCIA"/>
    <s v="800141053-7"/>
    <s v="DESAP"/>
    <s v="ARCON"/>
    <s v="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&quot;"/>
    <n v="498504602.16000003"/>
    <m/>
    <n v="498504602.16000003"/>
    <m/>
    <n v="498504602.16000003"/>
    <m/>
    <d v="2019-09-05T00:00:00"/>
    <d v="2019-09-05T00:00:00"/>
    <n v="498504602.16000003"/>
    <s v="MOVILIDAD DESAP "/>
    <x v="3"/>
    <s v="PN DESA`SA MC 030 2019"/>
    <s v="SEPTIEMBRE"/>
    <d v="2019-09-09T00:00:00"/>
    <d v="2019-09-18T00:00:00"/>
    <d v="2019-09-08T00:00:00"/>
    <s v="NOVIEMBRE"/>
    <s v="CUMPLIO"/>
    <n v="0"/>
    <s v="38-7-10010-19"/>
    <m/>
    <d v="2019-10-31T00:00:00"/>
    <s v="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&quot;"/>
    <s v="900017159-1"/>
    <s v="TALLER AREIZA PRIMOS LTDA"/>
    <s v="N/A"/>
    <s v="GILDARDO ANTONIO AREIZA GIL"/>
    <n v="498504602.16000003"/>
    <m/>
    <n v="498504602.16000003"/>
    <n v="498504602.16000003"/>
    <n v="498504602.16000003"/>
    <d v="2019-11-08T00:00:00"/>
    <d v="2020-07-31T00:00:00"/>
    <s v="PAGOS PARCIALES"/>
    <n v="204604602.16"/>
    <n v="293900000"/>
    <s v="EN EJECUCIÓN"/>
  </r>
  <r>
    <n v="54"/>
    <s v="DESAP"/>
    <n v="38"/>
    <s v="REGIÓN 1"/>
    <s v="DEPARTAMENTO DE POLICÍA SAN ANDRÉS Y PROVIDENCIA"/>
    <s v="800141053-7"/>
    <s v="DESAP"/>
    <s v="ARCON"/>
    <s v="ADICION No. 1 AL CONTRATO PRINCIPAL PN DESAP No. 38-7-10010-19 CUYO OBJETO ES EL 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&quot;"/>
    <n v="23789933"/>
    <m/>
    <n v="23789933"/>
    <m/>
    <n v="23789933"/>
    <m/>
    <d v="2019-11-13T00:00:00"/>
    <d v="2019-11-14T00:00:00"/>
    <n v="23789933"/>
    <s v="ESPECIALIDADES"/>
    <x v="5"/>
    <s v="PN DESA`SA MC 030 2019"/>
    <s v="NOVIEMBRE"/>
    <d v="2019-11-13T00:00:00"/>
    <d v="2019-11-14T00:00:00"/>
    <d v="2019-11-14T00:00:00"/>
    <s v="NOVIEMBRE"/>
    <s v="CUMPLIO"/>
    <n v="0"/>
    <s v="38-7-10010-19"/>
    <m/>
    <d v="2019-11-14T00:00:00"/>
    <s v="ADICION No. 1 AL CONTRATO PRINCIPAL PN DESAP No. 38-7-10010-19 CUYO OBJETO ES EL PROCESO DE MANTENIMIENTO PREVENTIVO Y CORRECTIVO A TODO COSTO PARA LOS VEHICULOS, MOTOCICLETAS Y LANCHA DEL DEPARTAMENTO DE POLICIA SAN ANDRES, PROVIDENCIA Y SANTA CATALINA Y COMPAÑÍA DE ANTINARCOTICOS CONTROL PORTUARIO Y AEROPORTUARIO, DIRECCIONES, ESPECIALIDADES, UNIDADES DE APOYO EN COMISION TEMPORAL O PERMANENTE APALANCAMIENTO 2019 Y FUTURA 2020&quot;"/>
    <s v="900017159-1"/>
    <s v="TALLER AREIZA PRIMOS LTDA"/>
    <s v="N/A"/>
    <s v="GILDARDO ANTONIO AREIZA GIL"/>
    <n v="23789933"/>
    <m/>
    <n v="23789933"/>
    <n v="23789933"/>
    <n v="23789933"/>
    <d v="2019-11-15T00:00:00"/>
    <d v="2019-12-31T00:00:00"/>
    <s v="PAGOS PARCIALES"/>
    <n v="23789933"/>
    <n v="0"/>
    <s v="LIQUIDADO"/>
  </r>
  <r>
    <n v="55"/>
    <s v="DESAP"/>
    <n v="38"/>
    <s v="REGIÓN 1"/>
    <s v="DEPARTAMENTO DE POLICÍA SAN ANDRÉS Y PROVIDENCIA"/>
    <s v="800141053-7"/>
    <s v="DESAP"/>
    <s v="ARCON"/>
    <s v="SERVICIO DE ALIMENTACION PARA EL PERSONAL UNIFORMADO DE APOYO A LOS DISPOSITIVOS PREVENTIVOS, DISUASIVOS Y DE CONTROL EN LAS ELECCIONES DEL PROXIMO 27 DE OCTUBRE EN DEPARTAMENTO DE POLICIAS SAN ANDRES, PROVIDENCIA Y SANTA CATALINA"/>
    <s v="$ 31.488.889,00"/>
    <m/>
    <n v="31488889"/>
    <m/>
    <n v="31488889"/>
    <m/>
    <d v="2019-10-15T00:00:00"/>
    <d v="2019-10-15T00:00:00"/>
    <s v="$                             31.488.889,00"/>
    <s v="LOGISTICA"/>
    <x v="2"/>
    <s v="PN DESAP 039 2019"/>
    <s v="OCTUBRE"/>
    <d v="2019-10-09T00:00:00"/>
    <d v="2019-10-12T00:00:00"/>
    <d v="2019-10-26T00:00:00"/>
    <s v="OCTUBRE"/>
    <s v="CUMPLIO"/>
    <n v="0"/>
    <s v="38-7-10013-19"/>
    <m/>
    <d v="2019-10-26T00:00:00"/>
    <s v="SERVICIO DE ALIMENTACION PARA EL PERSONAL UNIFORMADO DE APOYO A LOS DISPOSITIVOS PREVENTIVOS, DISUASIVOS Y DE CONTROL EN LAS ELECCIONES DEL PROXIMO 27 DE OCTUBRE EN DEPARTAMENTO DE POLICIAS SAN ANDRES, PROVIDENCIA Y SANTA CATALINA"/>
    <n v="40985765"/>
    <s v="DELICIAS DANY JAVI SHOP RESTAURANTE"/>
    <s v="N/A"/>
    <s v="ALEIDA ROSA FIGUEROA MESINO"/>
    <s v="$                                     31.488.889,00"/>
    <m/>
    <n v="31488889"/>
    <s v="$                                         31.488.889,00"/>
    <s v="$                                         31.488.889,00"/>
    <d v="2019-10-26T00:00:00"/>
    <d v="2019-11-05T00:00:00"/>
    <s v="PAGOS PARCIALES"/>
    <s v="$                                         31.488.889,00"/>
    <s v="$                                                         - "/>
    <s v="LIQUIDADO"/>
  </r>
  <r>
    <n v="56"/>
    <s v="DESAP"/>
    <n v="38"/>
    <s v="REGIÓN 1"/>
    <s v="DEPARTAMENTO DE POLICÍA SAN ANDRÉS Y PROVIDENCIA"/>
    <s v="800141053-7"/>
    <s v="DESAP"/>
    <s v="ARCON"/>
    <s v=" ADQUISICION EQUIPO AUTOMOTOR ITEM 1 CAMIONETA UNIFORMADA 2.050CC-2.449CC 4X4 DOBLE CABINA DIESEL A TRAVES DEL ACUERDO MARCO DE PRECIOS DE VEHICULOS &quot;CCE-312-1-AMP-2015&quot;"/>
    <s v="$ 148.202.100,00"/>
    <m/>
    <n v="148202100"/>
    <m/>
    <n v="148202100"/>
    <m/>
    <d v="2019-11-01T00:00:00"/>
    <d v="2019-11-01T00:00:00"/>
    <s v="$                             148.202.100,00"/>
    <s v="SETRA"/>
    <x v="1"/>
    <n v="42213"/>
    <s v="NOVIEMBRE"/>
    <d v="2019-11-01T00:00:00"/>
    <d v="2019-11-05T00:00:00"/>
    <d v="2019-11-13T00:00:00"/>
    <s v="NOVIEMBRE"/>
    <s v="CUMPLIO"/>
    <n v="0"/>
    <n v="42213"/>
    <m/>
    <d v="2019-11-13T00:00:00"/>
    <s v=" ADQUISICION EQUIPO AUTOMOTOR ITEM 1 CAMIONETA UNIFORMADA 2.050CC-2.449CC 4X4 DOBLE CABINA DIESEL A TRAVES DEL ACUERDO MARCO DE PRECIOS DE VEHICULOS &quot;CCE-312-1-AMP-2015&quot;"/>
    <s v="901019989-0"/>
    <s v="UNION TEMPORAL EFICIENTE 2016"/>
    <s v="N/A"/>
    <s v="JULIO CESAR LARA GARCIA"/>
    <s v="$                             148.202.100,00"/>
    <m/>
    <n v="148202100"/>
    <s v="$                             148.202.100,00"/>
    <s v="$                             148.202.100,00"/>
    <d v="2019-11-13T00:00:00"/>
    <d v="2019-12-30T00:00:00"/>
    <s v="CONTRA ENTREGA "/>
    <n v="148202100"/>
    <n v="0"/>
    <s v="LIQUIDADO"/>
  </r>
  <r>
    <n v="57"/>
    <s v="DESAP"/>
    <n v="38"/>
    <s v="REGIÓN 1"/>
    <s v="DEPARTAMENTO DE POLICÍA SAN ANDRÉS Y PROVIDENCIA"/>
    <s v="800141053-7"/>
    <s v="DESAP"/>
    <s v="ARCON"/>
    <s v="ADQUISICION  DE MOTOCICLETAS DE 644CC-A-749 UNIFORMADAS ENDURO PARA EL PERSONAL DE LA SECCIONAL DE TRANSITO Y TRANSPORTE DEL DEPARTAMENTO DE POLICIA SAN ANDRES, PROVIDENCIA Y SANTA CATALINA"/>
    <n v="66191382"/>
    <m/>
    <n v="66191382"/>
    <m/>
    <n v="66191382"/>
    <m/>
    <d v="2019-10-28T00:00:00"/>
    <d v="2019-10-28T00:00:00"/>
    <n v="66191382"/>
    <s v="SETRA"/>
    <x v="2"/>
    <s v="PN DESAP MIC 043 2019"/>
    <s v="OCTUBRE"/>
    <d v="2019-10-28T00:00:00"/>
    <d v="2019-11-01T00:00:00"/>
    <d v="2019-11-15T00:00:00"/>
    <s v="NOVIEMBRE"/>
    <s v="CUMPLIO"/>
    <n v="0"/>
    <s v="38-2-10011-19"/>
    <m/>
    <d v="2019-11-15T00:00:00"/>
    <s v="ADQUISICION  DE MOTOCICLETAS DE 644CC-A-749 UNIFORMADAS ENDURO PARA EL PERSONAL DE LA SECCIONAL DE TRANSITO Y TRANSPORTE DEL DEPARTAMENTO DE POLICIA SAN ANDRES, PROVIDENCIA Y SANTA CATALINA"/>
    <s v="891410137-2"/>
    <s v="SUSUKI MOTOR DE COLOMBIA S.A"/>
    <s v="N/A"/>
    <s v="LUIS EDUARDO ESPINOSA SABOGAL"/>
    <n v="66191382"/>
    <m/>
    <n v="66191382"/>
    <n v="66191382"/>
    <n v="66191382"/>
    <d v="2019-11-15T00:00:00"/>
    <d v="2019-12-30T00:00:00"/>
    <s v="CONTRA ENTREGA "/>
    <n v="66191382"/>
    <n v="0"/>
    <s v="LIQUIDADO"/>
  </r>
  <r>
    <n v="58"/>
    <s v="DESAP"/>
    <n v="38"/>
    <s v="REGIÓN 1"/>
    <s v="DEPARTAMENTO DE POLICÍA SAN ANDRÉS Y PROVIDENCIA"/>
    <s v="800141053-7"/>
    <s v="DESAP"/>
    <s v="ARCON"/>
    <s v="ADQUISICION DE ALEMENTOS COMO ESTIMULO EN NAVIDAD PARA HIJOS DEL PERSONAL AFILIADO DE BIENESTAR SOCIAL DEL DEPARTAMENTO DE POLICIA SAN ANDRES PROVIDENCIA Y SANTA CATALINA"/>
    <n v="5282041"/>
    <m/>
    <n v="5282041"/>
    <m/>
    <n v="5282041"/>
    <m/>
    <d v="2019-10-24T00:00:00"/>
    <d v="2019-10-24T00:00:00"/>
    <n v="5282041"/>
    <s v="GUTAH"/>
    <x v="2"/>
    <s v="PN DESAP MIC 047 2019"/>
    <s v="OCTUBRE"/>
    <d v="2019-10-24T00:00:00"/>
    <d v="2019-11-05T00:00:00"/>
    <d v="2019-11-13T00:00:00"/>
    <s v="NOVIEMBRE"/>
    <s v="CUMPLIO"/>
    <n v="0"/>
    <s v="38-2-10014-19"/>
    <m/>
    <d v="2019-11-13T00:00:00"/>
    <s v="ADQUISICION DE ALEMENTOS COMO ESTIMULO EN NAVIDAD PARA HIJOS DEL PERSONAL AFILIADO DE BIENESTAR SOCIAL DEL DEPARTAMENTO DE POLICIA SAN ANDRES PROVIDENCIA Y SANTA CATALINA"/>
    <s v="901014140-2"/>
    <s v="AR&amp;G INGENIERIA S.A.S"/>
    <s v="N/A"/>
    <s v="ANDRES LEONARDO GUTIERREZ CASTRO"/>
    <n v="5282041"/>
    <m/>
    <n v="5282041"/>
    <n v="5282041"/>
    <n v="5282041"/>
    <d v="2019-11-15T00:00:00"/>
    <d v="2019-12-15T00:00:00"/>
    <s v="CONTRA ENTREGA "/>
    <n v="5282041"/>
    <n v="0"/>
    <s v="LIQUIDADO"/>
  </r>
  <r>
    <n v="59"/>
    <s v="DESAP"/>
    <n v="38"/>
    <s v="REGIÓN 1"/>
    <s v="DEPARTAMENTO DE POLICÍA SAN ANDRÉS Y PROVIDENCIA"/>
    <s v="800141053-7"/>
    <s v="DESAP"/>
    <s v="ARCON"/>
    <s v="ADQUISICION DE EQUIPOS E INSTALACIONES PARA LA EMISORA DEL DEPARTAMENTO DE POLICIA SAN ANDRES, PROVIDENCIA Y SANTA CATALINA"/>
    <n v="49722504"/>
    <m/>
    <n v="49722504"/>
    <m/>
    <n v="49722504"/>
    <m/>
    <d v="2019-11-01T00:00:00"/>
    <d v="2019-11-01T00:00:00"/>
    <n v="49722504"/>
    <s v="COEST"/>
    <x v="2"/>
    <s v="PN DESAP MIC 044 2019"/>
    <s v="NOVIEMBRE"/>
    <d v="2019-10-30T00:00:00"/>
    <d v="2019-11-06T00:00:00"/>
    <d v="2019-11-13T00:00:00"/>
    <s v="NOVIEMBRE"/>
    <s v="CUMPLIO"/>
    <n v="0"/>
    <s v="38-2-10015-19"/>
    <m/>
    <d v="2019-11-13T00:00:00"/>
    <s v="ADQUISICION DE EQUIPOS E INSTALACIONES PARA LA EMISORA DEL DEPARTAMENTO DE POLICIA SAN ANDRES, PROVIDENCIA Y SANTA CATALINA"/>
    <s v="900228350-8"/>
    <s v="COMUNICACIONES CIRT LTDA "/>
    <s v="N/A"/>
    <s v="LUZ MARINA TINJACA"/>
    <n v="49722504"/>
    <m/>
    <n v="49722504"/>
    <n v="49722504"/>
    <n v="49722504"/>
    <d v="2019-11-15T00:00:00"/>
    <d v="2019-12-20T00:00:00"/>
    <s v="CONTRA ENTREGA "/>
    <n v="49722504"/>
    <n v="0"/>
    <s v="LIQUIDADO"/>
  </r>
  <r>
    <n v="60"/>
    <s v="DESAP"/>
    <n v="38"/>
    <s v="REGIÓN 1"/>
    <s v="DEPARTAMENTO DE POLICÍA SAN ANDRÉS Y PROVIDENCIA"/>
    <s v="800141053-7"/>
    <s v="DESAP"/>
    <s v="ARCON"/>
    <s v="SUMINISTRO DE ALIMENTOS CONCENTRADOS PARA LA ALIMENTACION DE LOS SEMOVIENTES EQUINOS Y CANINOS ADSCRITOS AL GRUPO DE CARABINEROS Y GUIS CANINOS DEL DEPARTAMENTO DE POLICIA SAN ANDRES, PROVIDENCI Y SANTA CATALINA"/>
    <n v="17949750"/>
    <m/>
    <n v="17949750"/>
    <m/>
    <n v="17949750"/>
    <m/>
    <d v="2019-10-30T00:00:00"/>
    <d v="2019-10-30T00:00:00"/>
    <n v="17949750"/>
    <s v="GRUCA"/>
    <x v="2"/>
    <s v="PN DESAP MIC 046 2019"/>
    <s v="OCTUBRE"/>
    <d v="2019-10-30T00:00:00"/>
    <d v="2019-11-05T00:00:00"/>
    <d v="2019-11-18T00:00:00"/>
    <s v="NOVIEMBRE"/>
    <s v="CUMPLIO"/>
    <n v="0"/>
    <s v="38-8-10016-19"/>
    <m/>
    <d v="2019-11-18T00:00:00"/>
    <s v="SUMINISTRO DE ALIMENTOS CONCENTRADOS PARA LA ALIMENTACION DE LOS SEMOVIENTES EQUINOS Y CANINOS ADSCRITOS AL GRUPO DE CARABINEROS Y GUIS CANINOS DEL DEPARTAMENTO DE POLICIA SAN ANDRES, PROVIDENCI Y SANTA CATALINA"/>
    <s v="92509417-9"/>
    <s v="AGROVETERINARIA JUAN PABLO"/>
    <s v="N/A"/>
    <s v="JUAN PABLO ANGARITA ARRIETA"/>
    <n v="17949750"/>
    <m/>
    <n v="17949750"/>
    <n v="17949750"/>
    <n v="17949750"/>
    <d v="2019-11-15T00:00:00"/>
    <d v="2019-12-30T00:00:00"/>
    <s v="CONTRA ENTREGA "/>
    <n v="5000539.5"/>
    <n v="12949210.5"/>
    <s v="EN EJECUCIÓN"/>
  </r>
  <r>
    <n v="61"/>
    <s v="DESAP"/>
    <n v="38"/>
    <s v="REGIÓN 1"/>
    <s v="DEPARTAMENTO DE POLICÍA SAN ANDRÉS Y PROVIDENCIA"/>
    <s v="800141053-7"/>
    <s v="DESAP"/>
    <s v="ARCON"/>
    <s v="ADQUISICION DE EQUIPOS TEGNOLOGICOS COMPUTADORES, IMPRESORAS Y TELEVISORES PARA EL PERSONAL DE LA SECCIONAL DE TRANSITO Y TRANSPORTE DEL DEPARTAMENTO DE POLICIA SAN ANDRES, PROVIDENCIA Y SANTA CATALINA"/>
    <n v="23159000"/>
    <m/>
    <n v="23159000"/>
    <m/>
    <n v="23159000"/>
    <m/>
    <d v="2019-10-30T00:00:00"/>
    <d v="2019-10-30T00:00:00"/>
    <n v="23159000"/>
    <s v="SETRA"/>
    <x v="2"/>
    <s v="PN DESAP MIC 048 2019"/>
    <s v="OCTUBRE"/>
    <d v="2019-10-30T00:00:00"/>
    <d v="2019-11-01T00:00:00"/>
    <d v="2019-11-22T00:00:00"/>
    <s v="NOVIEMBRE"/>
    <s v="CUMPLIO"/>
    <n v="0"/>
    <s v="38-2-10018-19"/>
    <m/>
    <d v="2019-11-22T00:00:00"/>
    <s v="ADQUISICION DE EQUIPOS TEGNOLOGICOS COMPUTADORES, IMPRESORAS Y TELEVISORES PARA EL PERSONAL DE LA SECCIONAL DE TRANSITO Y TRANSPORTE DEL DEPARTAMENTO DE POLICIA SAN ANDRES, PROVIDENCIA Y SANTA CATALINA"/>
    <s v="901014140-2"/>
    <s v="ARYG INGENIERIA SAS"/>
    <s v="N/A"/>
    <s v="YOGENYS MARIA JIMENEZ SEVILLA"/>
    <n v="23159000"/>
    <m/>
    <n v="23159000"/>
    <n v="23159000"/>
    <n v="23159000"/>
    <d v="2019-11-22T00:00:00"/>
    <d v="2019-12-30T00:00:00"/>
    <s v="CONTRA ENTREGA "/>
    <n v="23159000"/>
    <n v="0"/>
    <s v="LIQUIDADO"/>
  </r>
  <r>
    <n v="62"/>
    <s v="DESAP"/>
    <n v="38"/>
    <s v="REGIÓN 1"/>
    <s v="DEPARTAMENTO DE POLICÍA SAN ANDRÉS Y PROVIDENCIA"/>
    <s v="800141053-7"/>
    <s v="DESAP"/>
    <s v="ARCON"/>
    <s v="MANTENIMIENTO PREVENTIVO Y CORRECTIVO A TODO COSTO DE LOS EQUIPOS DEL LABORATORIO DE LA SECCIONAL DE INVESTIGACION CRIMINAL DEL DEPARTAMENTO DE POLICIA SAN ANDRES, PROVIDENCIA Y SANTA CATALINA"/>
    <n v="2120000"/>
    <m/>
    <n v="2120000"/>
    <m/>
    <n v="2120000"/>
    <m/>
    <d v="2019-10-30T00:00:00"/>
    <d v="2019-10-30T00:00:00"/>
    <n v="2120000"/>
    <s v="SIJIN"/>
    <x v="2"/>
    <s v="PN DESAP MIC 052 2019"/>
    <s v="OCTUBRE"/>
    <d v="2019-10-30T00:00:00"/>
    <d v="2019-11-01T00:00:00"/>
    <d v="2019-11-22T00:00:00"/>
    <s v="NOVIEMBRE"/>
    <s v="CUMPLIO"/>
    <n v="0"/>
    <s v="38-7-10017-19"/>
    <m/>
    <d v="2019-11-22T00:00:00"/>
    <s v="MANTENIMIENTO PREVENTIVO Y CORRECTIVO A TODO COSTO DE LOS EQUIPOS DEL LABORATORIO DE LA SECCIONAL DE INVESTIGACION CRIMINAL DEL DEPARTAMENTO DE POLICIA SAN ANDRES, PROVIDENCIA Y SANTA CATALINA"/>
    <s v="800141053-7"/>
    <s v="DATUS INGENIERIA SAS"/>
    <s v="N/A"/>
    <s v="EDGAR JAVIER SALGADO NARANJO"/>
    <n v="2120000"/>
    <m/>
    <n v="2120000"/>
    <n v="2120000"/>
    <n v="2120000"/>
    <d v="2019-11-22T00:00:00"/>
    <d v="2019-12-22T00:00:00"/>
    <s v="CONTRA ENTREGA "/>
    <n v="2120000"/>
    <n v="0"/>
    <s v="LIQUIDADO"/>
  </r>
  <r>
    <n v="63"/>
    <s v="DESAP"/>
    <n v="38"/>
    <s v="REGIÓN 1"/>
    <s v="DEPARTAMENTO DE POLICÍA SAN ANDRÉS Y PROVIDENCIA"/>
    <s v="800141053-7"/>
    <s v="DESAP"/>
    <s v="ARCON"/>
    <s v="ADQUISICION DE CUÑETES DE PINTURA PARA EL DEPARTAMENTO DE POLICIA SAN ANDRES, PROVIDENCIA Y SANTA CATALINA."/>
    <n v="20000000"/>
    <m/>
    <n v="20000000"/>
    <m/>
    <n v="20000000"/>
    <m/>
    <d v="2019-10-29T00:00:00"/>
    <d v="2019-10-29T00:00:00"/>
    <n v="20000000"/>
    <s v="LOGISTICO"/>
    <x v="2"/>
    <s v="PN DESAP MIC 053 2019"/>
    <s v="OCTUBRE"/>
    <d v="2019-10-29T00:00:00"/>
    <d v="2019-11-01T00:00:00"/>
    <d v="2019-11-22T00:00:00"/>
    <s v="NOVIEMBRE"/>
    <s v="CUMPLIO"/>
    <n v="0"/>
    <s v="38-2-10019-19"/>
    <m/>
    <d v="2019-11-22T00:00:00"/>
    <s v="ADQUISICION DE CUÑETES DE PINTURA PARA EL DEPARTAMENTO DE POLICIA SAN ANDRES, PROVIDENCIA Y SANTA CATALINA."/>
    <s v="900798695-8"/>
    <s v="SERVISTAR CONSTRU-MUNDO"/>
    <s v="N/A"/>
    <s v="RAFAEL GUILLERMO HENAO VALENCIA"/>
    <n v="20000000"/>
    <m/>
    <n v="20000000"/>
    <n v="20000000"/>
    <n v="20000000"/>
    <d v="2019-11-22T00:00:00"/>
    <d v="2019-12-25T00:00:00"/>
    <s v="CONTRA ENTREGA "/>
    <n v="20000000"/>
    <n v="0"/>
    <s v="LIQUIDADO"/>
  </r>
  <r>
    <n v="64"/>
    <s v="DESAP"/>
    <n v="38"/>
    <s v="REGIÓN 1"/>
    <s v="DEPARTAMENTO DE POLICÍA SAN ANDRÉS Y PROVIDENCIA"/>
    <s v="800141053-7"/>
    <s v="DESAP"/>
    <s v="ARCON"/>
    <s v="ADICION No. 1 AL CONTRATO PRINCIPAL PN DESAP No. 38-1-10012-19 CUYO OBJETO ES EL ARRENDAMIENTO DE ALOJAMIENTO PARA EL PERSONAL DE OFICIALES QUE INTEGRAN EL COMANDO DE DEPARTAMENTO DE POLICIA SAN ANDRES, PROVIDENCIA Y SANTA CATALINA"/>
    <n v="158558856.86000001"/>
    <m/>
    <n v="158558856.86000001"/>
    <m/>
    <n v="158558856.86000001"/>
    <m/>
    <d v="2019-09-24T00:00:00"/>
    <d v="2019-09-24T00:00:00"/>
    <n v="158558856.86000001"/>
    <s v="LOGISTICA"/>
    <x v="2"/>
    <s v="PN DESAP CD 012  2019"/>
    <s v="SEPTIEMBRE"/>
    <d v="2019-09-24T00:00:00"/>
    <d v="2019-09-27T00:00:00"/>
    <d v="2019-09-25T00:00:00"/>
    <s v="SEPTIEMBRE"/>
    <s v="CUMPLIO"/>
    <n v="0"/>
    <s v="38-1-10012-19"/>
    <m/>
    <d v="2019-09-25T00:00:00"/>
    <s v="ADICION No. 1 AL CONTRATO PRINCIPAL PN DESAP No. 38-1-10012-19 CUYO OBJETO ES EL ARRENDAMIENTO DE ALOJAMIENTO PARA EL PERSONAL DE OFICIALES QUE INTEGRAN EL COMANDO DE DEPARTAMENTO DE POLICIA SAN ANDRES, PROVIDENCIA Y SANTA CATALINA"/>
    <n v="40991861"/>
    <s v="JENNIFER GENITH OROZCO SUAREZ"/>
    <s v="N/A"/>
    <s v="JENNIFER GENITH OROZCO SUAREZ"/>
    <n v="158558856.86000001"/>
    <m/>
    <n v="158558856.86000001"/>
    <n v="158558856.86000001"/>
    <n v="158558856.86000001"/>
    <d v="2019-09-24T00:00:00"/>
    <d v="2019-12-05T00:00:00"/>
    <s v="PAGOS PARCIALES"/>
    <n v="158558856.86000001"/>
    <n v="0"/>
    <s v="LIQUIDADO"/>
  </r>
  <r>
    <n v="65"/>
    <s v="DESAP"/>
    <n v="38"/>
    <s v="REGIÓN 1"/>
    <s v="DEPARTAMENTO DE POLICÍA SAN ANDRÉS Y PROVIDENCIA"/>
    <s v="800141053-7"/>
    <s v="DESAP"/>
    <s v="ARCON"/>
    <s v="PROCESO DE ARRENDAMIENTO DE INSTALACIONES PARA EL GRUPO DE ANTINARCOTICOS DEL DEPARTAMENTO DE POLICIA SAN ANDRES PROVIDENCIA Y SANTA CATALINA. AMPARA V.F 2020 POR UN VALOR DE $161.000.000,00"/>
    <n v="184000000"/>
    <m/>
    <n v="184000000"/>
    <m/>
    <n v="184000000"/>
    <m/>
    <d v="2019-11-18T00:00:00"/>
    <d v="2019-11-18T00:00:00"/>
    <n v="184000000"/>
    <s v="ANTIN"/>
    <x v="4"/>
    <s v="PN DESAP CD 059 2019"/>
    <s v="NOVIEMBRE"/>
    <d v="2019-11-18T00:00:00"/>
    <d v="2019-11-20T00:00:00"/>
    <d v="2019-12-01T00:00:00"/>
    <s v="DICIEMBRE"/>
    <s v="CUMPLIO"/>
    <n v="0"/>
    <s v="38-1-10021-19"/>
    <m/>
    <d v="2019-12-01T00:00:00"/>
    <s v="PROCESO DE ARRENDAMIENTO DE INSTALACIONES PARA EL GRUPO DE ANTINARCOTICOS DEL DEPARTAMENTO DE POLICIA SAN ANDRES PROVIDENCIA Y SANTA CATALINA. AMPARA V.F 2020 POR UN VALOR DE $161.000.000,00"/>
    <s v="900683113-9"/>
    <s v="INVERSIONES SALCEDO GALLARDO S.AS"/>
    <s v="N/A"/>
    <s v="MARIA ALEJANDRA DIAZ SALCEDO"/>
    <n v="184000000"/>
    <m/>
    <n v="184000000"/>
    <n v="184000000"/>
    <n v="184000000"/>
    <d v="2019-12-01T00:00:00"/>
    <d v="2020-07-31T00:00:00"/>
    <s v="PAGOS PARCIALES"/>
    <n v="23000000"/>
    <n v="161000000"/>
    <s v="EN EJECUCIÓN"/>
  </r>
  <r>
    <n v="66"/>
    <s v="DESAP"/>
    <n v="38"/>
    <s v="REGIÓN 1"/>
    <s v="DEPARTAMENTO DE POLICÍA SAN ANDRÉS Y PROVIDENCIA"/>
    <s v="800141053-7"/>
    <s v="DESAP"/>
    <s v="ARCON"/>
    <s v="ACTIVIDADES DE INTEGRACIÓN Y MEJORAMIENTO DE LA CALIDAD DE VIDA- COMPONENTE ASISTENCIA SOCIAL PARA EL PERSONAL DEL DEPARTAMENTO DE POLICÍA SAN ANDRÉS, PROVIDENCIA Y SANTA CATALINA Y ESPECIALIDADES."/>
    <n v="33000000"/>
    <m/>
    <n v="33000000"/>
    <m/>
    <n v="33000000"/>
    <m/>
    <d v="2019-12-09T00:00:00"/>
    <d v="2019-11-09T00:00:00"/>
    <n v="33000000"/>
    <s v="TAHUM"/>
    <x v="2"/>
    <s v="PN DESAP MIC 064 2019"/>
    <s v="DICIEMBRE"/>
    <d v="2019-12-09T00:00:00"/>
    <d v="2019-12-10T00:00:00"/>
    <d v="2019-12-14T00:00:00"/>
    <s v="DICIEMBRE"/>
    <s v="CUMPLIO"/>
    <n v="0"/>
    <s v="38-7-10023-19"/>
    <m/>
    <d v="2019-12-14T00:00:00"/>
    <s v="ACTIVIDADES DE INTEGRACIÓN Y MEJORAMIENTO DE LA CALIDAD DE VIDA- COMPONENTE ASISTENCIA SOCIAL PARA EL PERSONAL DEL DEPARTAMENTO DE POLICÍA SAN ANDRÉS, PROVIDENCIA Y SANTA CATALINA Y ESPECIALIDADES."/>
    <s v="901086770-0"/>
    <s v="DUKE PLACE CASA FINCA SAS"/>
    <s v="N/A"/>
    <s v="LEOBARDO DUKE SANTANA"/>
    <n v="33000000"/>
    <m/>
    <n v="33000000"/>
    <n v="33000000"/>
    <n v="33000000"/>
    <d v="2019-12-14T00:00:00"/>
    <d v="2019-12-28T00:00:00"/>
    <s v="CONTRA ENTREGA "/>
    <n v="33000000"/>
    <n v="0"/>
    <s v="LIQUIDADO"/>
  </r>
  <r>
    <n v="67"/>
    <s v="DESAP"/>
    <m/>
    <s v="REGIÓN 1"/>
    <s v="DEPARTAMENTO DE POLICÍA SAN ANDRÉS Y PROVIDENCIA"/>
    <s v="800141053-7"/>
    <s v="DESAP"/>
    <s v="ARCON"/>
    <s v="ARRENDAMIENTO DE ALOJAMIENTO PARA EL PERSONAL DE OFICIALES QUE INTEGRAN EL COMANDO DE DEPARTAMENTO DE  POLICÍA SAN ANDRÉS, PROVIDENCIA Y SANTA CATALINA CON APALANCAMIENTO V.F 2020 219.543.032,58"/>
    <n v="261012272.27000001"/>
    <m/>
    <n v="261012272.27000001"/>
    <m/>
    <n v="261012272.27000001"/>
    <m/>
    <d v="2019-12-05T00:00:00"/>
    <d v="2019-12-05T00:00:00"/>
    <n v="261012272.27000001"/>
    <s v="LOGISTICA"/>
    <x v="4"/>
    <s v="PN DESAP CD 065 2019"/>
    <s v="DICIEMBRE"/>
    <d v="2019-12-05T00:00:00"/>
    <d v="2019-12-07T00:00:00"/>
    <d v="2019-12-14T00:00:00"/>
    <s v="DICIEMBRE"/>
    <s v="CUMPLIO"/>
    <n v="0.20000001788139343"/>
    <s v="38-1-10024-19"/>
    <m/>
    <d v="2019-12-14T00:00:00"/>
    <s v="ARRENDAMIENTO DE ALOJAMIENTO PARA EL PERSONAL DE OFICIALES QUE INTEGRAN EL COMANDO DE DEPARTAMENTO DE  POLICÍA SAN ANDRÉS, PROVIDENCIA Y SANTA CATALINA CON APALANCAMIENTO V.F 2020 219.543.032,58"/>
    <n v="40991861"/>
    <s v="JENNIFER GENITH OROZCO SUAREZ"/>
    <s v="N/A"/>
    <s v="JENNIFER GENITH OROZCO SUAREZ"/>
    <n v="261012272.06999999"/>
    <m/>
    <n v="261012272.06999999"/>
    <n v="261012272.06999999"/>
    <n v="261012272"/>
    <d v="2019-12-14T00:00:00"/>
    <d v="2020-03-31T00:00:00"/>
    <s v="PAGOS PARCIALES"/>
    <n v="41469239.490000002"/>
    <n v="219543032.57999998"/>
    <s v="EN EJECUCIÓN"/>
  </r>
  <r>
    <n v="68"/>
    <s v="DESAP"/>
    <n v="38"/>
    <s v="REGIÓN 1"/>
    <s v="DEPARTAMENTO DE POLICÍA SAN ANDRÉS Y PROVIDENCIA"/>
    <s v="800141053-7"/>
    <s v="DESAP"/>
    <s v="ARCON"/>
    <s v="ADQUISICIÓN DE EQUIPOS TECNOLÓGICOS (EQUIPOS Y APARATOS DE RADIO, TELEVISIÓN Y COMUNICACIONES) PARA LA ADECUACIÓN DE LA SALA DE AUDIENCIA DEL DEPARTAMENTO DE POLICÍA SAN ANDRÉS, PROVIDENCIA Y SANTA CATALINA"/>
    <n v="23778558"/>
    <m/>
    <n v="23778558"/>
    <m/>
    <n v="23778558"/>
    <m/>
    <d v="2019-11-20T00:00:00"/>
    <d v="2019-11-20T00:00:00"/>
    <n v="23778558"/>
    <s v="CODIN"/>
    <x v="2"/>
    <s v="PN DESAP MIC 063 2019"/>
    <s v="NOVIEMBRE"/>
    <d v="2019-11-20T00:00:00"/>
    <d v="2019-11-22T00:00:00"/>
    <d v="2019-12-06T00:00:00"/>
    <s v="DICIEMBRE"/>
    <s v="CUMPLIO"/>
    <n v="0"/>
    <s v="38-2-10022-19"/>
    <m/>
    <d v="2019-12-06T00:00:00"/>
    <s v="ADQUISICIÓN DE EQUIPOS TECNOLÓGICOS (EQUIPOS Y APARATOS DE RADIO, TELEVISIÓN Y COMUNICACIONES) PARA LA ADECUACIÓN DE LA SALA DE AUDIENCIA DEL DEPARTAMENTO DE POLICÍA SAN ANDRÉS, PROVIDENCIA Y SANTA CATALINA"/>
    <s v="79696673-0"/>
    <s v="JULIO ANDRES CASTRO GONZALES"/>
    <s v="N/A"/>
    <s v="JULIO ANDRES CASTRO GONZALES"/>
    <n v="23778558"/>
    <m/>
    <n v="23778558"/>
    <n v="23778558"/>
    <n v="23778558"/>
    <d v="2019-12-06T00:00:00"/>
    <d v="2019-12-31T00:00:00"/>
    <s v="CONTRA ENTREGA "/>
    <n v="23778558"/>
    <n v="0"/>
    <s v="LIQUIDADO"/>
  </r>
  <r>
    <n v="69"/>
    <s v="DESAP"/>
    <n v="38"/>
    <s v="REGIÓN 1"/>
    <s v="DEPARTAMENTO DE POLICÍA SAN ANDRÉS Y PROVIDENCIA"/>
    <s v="800141053-7"/>
    <s v="DESAP"/>
    <s v="ARCON"/>
    <s v="ADQUISICION DE EQUIPOS TECNOLOGICOS COMPUTADORES, IMPRESORAS Y TELEVISORES PARA EL PERSONAL DE LA SECCIONAL  DE TRANSITO Y TRANSPORTE DEL DEPARTAMENTO DE POLICIA SAN ANDRES, PROVIDENCIA Y SANTA CATALINA "/>
    <n v="23159000"/>
    <m/>
    <n v="23159000"/>
    <m/>
    <n v="23159000"/>
    <m/>
    <d v="2019-10-30T00:00:00"/>
    <d v="2019-10-30T00:00:00"/>
    <n v="23159000"/>
    <s v="SETRA"/>
    <x v="2"/>
    <s v="PN DESAP MIC 048 2019"/>
    <s v="NOVIEMBRE"/>
    <d v="2019-10-30T00:00:00"/>
    <d v="2019-11-01T00:00:00"/>
    <d v="2019-11-26T00:00:00"/>
    <s v="NOVIEMBRE"/>
    <s v="CUMPLIO"/>
    <n v="0"/>
    <s v="38-2-10018-19"/>
    <m/>
    <d v="2019-11-26T00:00:00"/>
    <s v="ADQUISICION DE EQUIPOS TECNOLOGICOS COMPUTADORES, IMPRESORAS Y TELEVISORES PARA EL PERSONAL DE LA SECCIONAL  DE TRANSITO Y TRANSPORTE DEL DEPARTAMENTO DE POLICIA SAN ANDRES, PROVIDENCIA Y SANTA CATALINA "/>
    <n v="1064308871"/>
    <s v="YOGENYS MARIA JIMENEZ SEVILLA "/>
    <s v="N/A"/>
    <s v="YOGENYS MARIA JIMENEZ SEVILLA "/>
    <n v="23159000"/>
    <m/>
    <n v="23159000"/>
    <n v="23159000"/>
    <n v="23159000"/>
    <d v="2019-11-26T00:00:00"/>
    <d v="2019-12-31T00:00:00"/>
    <s v="CONTRA ENTREGA "/>
    <n v="23159000"/>
    <n v="0"/>
    <s v="LIQUIDAD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8DA75E-5FC9-47A0-A106-712319D8DFD1}" name="Tabla dinámica10" cacheId="8" applyNumberFormats="0" applyBorderFormats="0" applyFontFormats="0" applyPatternFormats="0" applyAlignmentFormats="0" applyWidthHeightFormats="1" dataCaption="Valores" updatedVersion="6" minRefreshableVersion="3" itemPrintTitles="1" createdVersion="5" indent="0" outline="1" outlineData="1" multipleFieldFilters="0">
  <location ref="B40:F47" firstHeaderRow="0" firstDataRow="1" firstDataCol="1"/>
  <pivotFields count="47"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 defaultSubtotal="0"/>
    <pivotField showAll="0"/>
    <pivotField numFmtId="165" showAll="0"/>
    <pivotField showAll="0"/>
    <pivotField showAll="0"/>
    <pivotField showAll="0"/>
    <pivotField showAll="0"/>
    <pivotField showAll="0"/>
    <pivotField axis="axisRow" showAll="0">
      <items count="7">
        <item x="5"/>
        <item x="1"/>
        <item x="4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165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uenta de UNIDAD" fld="6" subtotal="count" baseField="0" baseItem="0"/>
    <dataField name="Suma de VIGENCIA FUTURA" fld="37" baseField="0" baseItem="0"/>
    <dataField name="Suma de GASTOS GENERALES CONTRATADO" fld="39" baseField="19" baseItem="0"/>
    <dataField name="Suma de INVERSIÓN CONTRATADO" fld="40" baseField="19" baseItem="1"/>
  </dataFields>
  <formats count="16">
    <format dxfId="160">
      <pivotArea grandRow="1" outline="0" collapsedLevelsAreSubtotals="1" fieldPosition="0"/>
    </format>
    <format dxfId="159">
      <pivotArea dataOnly="0" labelOnly="1" grandRow="1" outline="0" fieldPosition="0"/>
    </format>
    <format dxfId="158">
      <pivotArea grandRow="1" outline="0" collapsedLevelsAreSubtotals="1" fieldPosition="0"/>
    </format>
    <format dxfId="157">
      <pivotArea dataOnly="0" labelOnly="1" grandRow="1" outline="0" fieldPosition="0"/>
    </format>
    <format dxfId="156">
      <pivotArea grandRow="1" outline="0" collapsedLevelsAreSubtotals="1" fieldPosition="0"/>
    </format>
    <format dxfId="155">
      <pivotArea dataOnly="0" labelOnly="1" grandRow="1" outline="0" fieldPosition="0"/>
    </format>
    <format dxfId="9">
      <pivotArea collapsedLevelsAreSubtotals="1" fieldPosition="0">
        <references count="2">
          <reference field="4294967294" count="1" selected="0">
            <x v="0"/>
          </reference>
          <reference field="19" count="0"/>
        </references>
      </pivotArea>
    </format>
    <format dxfId="8">
      <pivotArea field="19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7">
      <pivotArea field="19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19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19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19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2BDB8A-5B5D-49E9-9B83-B707C7D81684}" name="Tabla dinámica8" cacheId="8" applyNumberFormats="0" applyBorderFormats="0" applyFontFormats="0" applyPatternFormats="0" applyAlignmentFormats="0" applyWidthHeightFormats="1" dataCaption="Valores" updatedVersion="6" minRefreshableVersion="3" itemPrintTitles="1" createdVersion="5" indent="0" outline="1" outlineData="1" multipleFieldFilters="0" chartFormat="5">
  <location ref="B24:F31" firstHeaderRow="0" firstDataRow="1" firstDataCol="1"/>
  <pivotFields count="47"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dataField="1" showAll="0" defaultSubtotal="0"/>
    <pivotField dataField="1" showAll="0"/>
    <pivotField dataField="1" numFmtId="165" showAll="0"/>
    <pivotField showAll="0"/>
    <pivotField showAll="0"/>
    <pivotField showAll="0"/>
    <pivotField showAll="0"/>
    <pivotField showAll="0"/>
    <pivotField axis="axisRow" showAll="0">
      <items count="7">
        <item x="5"/>
        <item x="1"/>
        <item x="4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uenta de UNIDAD" fld="6" subtotal="count" baseField="0" baseItem="0"/>
    <dataField name="Suma de VALOR TOTAL " fld="13" baseField="0" baseItem="0" numFmtId="42"/>
    <dataField name="Suma DE BIENES Y SERVICIOS " fld="11" baseField="0" baseItem="0" numFmtId="42"/>
    <dataField name="Cuenta de INVERSIÓN" fld="12" subtotal="count" baseField="0" baseItem="0" numFmtId="42"/>
  </dataFields>
  <formats count="17">
    <format dxfId="94">
      <pivotArea grandRow="1" outline="0" collapsedLevelsAreSubtotals="1" fieldPosition="0"/>
    </format>
    <format dxfId="95">
      <pivotArea dataOnly="0" labelOnly="1" grandRow="1" outline="0" fieldPosition="0"/>
    </format>
    <format dxfId="96">
      <pivotArea grandRow="1" outline="0" collapsedLevelsAreSubtotals="1" fieldPosition="0"/>
    </format>
    <format dxfId="97">
      <pivotArea dataOnly="0" labelOnly="1" grandRow="1" outline="0" fieldPosition="0"/>
    </format>
    <format dxfId="98">
      <pivotArea grandRow="1" outline="0" collapsedLevelsAreSubtotals="1" fieldPosition="0"/>
    </format>
    <format dxfId="99">
      <pivotArea dataOnly="0" labelOnly="1" grandRow="1" outline="0" fieldPosition="0"/>
    </format>
    <format dxfId="10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7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65">
      <pivotArea field="19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3">
      <pivotArea field="19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1">
      <pivotArea field="19" type="button" dataOnly="0" labelOnly="1" outline="0" axis="axisRow" fieldPosition="0"/>
    </format>
    <format dxfId="6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9">
      <pivotArea field="19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CO68"/>
  <sheetViews>
    <sheetView showGridLines="0" topLeftCell="A61" zoomScale="85" zoomScaleNormal="85" workbookViewId="0">
      <selection activeCell="AM3" sqref="AM3"/>
    </sheetView>
  </sheetViews>
  <sheetFormatPr baseColWidth="10" defaultRowHeight="15" x14ac:dyDescent="0.25"/>
  <cols>
    <col min="1" max="1" width="10" style="29" bestFit="1" customWidth="1"/>
    <col min="2" max="2" width="24.7109375" style="39" customWidth="1"/>
    <col min="3" max="3" width="22.7109375" style="29" customWidth="1"/>
    <col min="4" max="4" width="20" style="29" customWidth="1"/>
    <col min="5" max="5" width="69.140625" style="29" customWidth="1"/>
    <col min="6" max="6" width="31.28515625" style="29" customWidth="1"/>
    <col min="7" max="7" width="19.85546875" style="39" customWidth="1"/>
    <col min="8" max="8" width="22.140625" style="39" bestFit="1" customWidth="1"/>
    <col min="9" max="9" width="125.85546875" style="41" bestFit="1" customWidth="1"/>
    <col min="10" max="10" width="20" style="42" bestFit="1" customWidth="1"/>
    <col min="11" max="11" width="25.5703125" style="42" customWidth="1"/>
    <col min="12" max="12" width="27" style="31" bestFit="1" customWidth="1"/>
    <col min="13" max="13" width="30.42578125" style="42" customWidth="1"/>
    <col min="14" max="14" width="32.140625" style="31" customWidth="1"/>
    <col min="15" max="15" width="28.7109375" style="40" bestFit="1" customWidth="1"/>
    <col min="16" max="16" width="37.42578125" style="40" hidden="1" customWidth="1"/>
    <col min="17" max="17" width="56.28515625" style="40" hidden="1" customWidth="1"/>
    <col min="18" max="18" width="30.28515625" style="42" hidden="1" customWidth="1"/>
    <col min="19" max="19" width="24.28515625" style="39" hidden="1" customWidth="1"/>
    <col min="20" max="20" width="31" style="39" hidden="1" customWidth="1"/>
    <col min="21" max="21" width="43.85546875" style="39" hidden="1" customWidth="1"/>
    <col min="22" max="22" width="30.140625" style="39" hidden="1" customWidth="1"/>
    <col min="23" max="23" width="30.5703125" style="54" hidden="1" customWidth="1"/>
    <col min="24" max="24" width="29.85546875" style="54" hidden="1" customWidth="1"/>
    <col min="25" max="25" width="36.42578125" style="54" hidden="1" customWidth="1"/>
    <col min="26" max="26" width="35.28515625" style="39" hidden="1" customWidth="1"/>
    <col min="27" max="27" width="24.28515625" style="31" hidden="1" customWidth="1"/>
    <col min="28" max="28" width="31.5703125" style="31" customWidth="1"/>
    <col min="29" max="29" width="33.85546875" style="39" customWidth="1"/>
    <col min="30" max="30" width="33.85546875" style="48" customWidth="1"/>
    <col min="31" max="31" width="33.85546875" style="39" customWidth="1"/>
    <col min="32" max="32" width="46.85546875" style="53" customWidth="1"/>
    <col min="33" max="33" width="33.85546875" style="51" customWidth="1"/>
    <col min="34" max="34" width="43.85546875" style="51" customWidth="1"/>
    <col min="35" max="35" width="33.85546875" style="39" customWidth="1"/>
    <col min="36" max="36" width="53.7109375" style="40" customWidth="1"/>
    <col min="37" max="38" width="33.85546875" style="42" customWidth="1"/>
    <col min="39" max="39" width="34.85546875" style="31" customWidth="1"/>
    <col min="40" max="40" width="38.85546875" style="42" customWidth="1"/>
    <col min="41" max="41" width="36.42578125" style="42" customWidth="1"/>
    <col min="42" max="42" width="39.42578125" style="48" customWidth="1"/>
    <col min="43" max="44" width="33.85546875" style="48" customWidth="1"/>
    <col min="45" max="45" width="33.85546875" style="42" customWidth="1"/>
    <col min="46" max="46" width="33.85546875" style="31" customWidth="1"/>
    <col min="47" max="47" width="30.28515625" style="40" customWidth="1"/>
  </cols>
  <sheetData>
    <row r="1" spans="1:47" s="25" customFormat="1" ht="39.75" customHeight="1" x14ac:dyDescent="0.25">
      <c r="A1" s="27" t="s">
        <v>138</v>
      </c>
      <c r="B1" s="34" t="s">
        <v>0</v>
      </c>
      <c r="C1" s="27" t="s">
        <v>232</v>
      </c>
      <c r="D1" s="27" t="s">
        <v>147</v>
      </c>
      <c r="E1" s="27" t="s">
        <v>146</v>
      </c>
      <c r="F1" s="27" t="s">
        <v>107</v>
      </c>
      <c r="G1" s="34" t="s">
        <v>1</v>
      </c>
      <c r="H1" s="34" t="s">
        <v>137</v>
      </c>
      <c r="I1" s="34" t="s">
        <v>351</v>
      </c>
      <c r="J1" s="35" t="s">
        <v>136</v>
      </c>
      <c r="K1" s="35" t="s">
        <v>135</v>
      </c>
      <c r="L1" s="35" t="s">
        <v>368</v>
      </c>
      <c r="M1" s="35" t="s">
        <v>134</v>
      </c>
      <c r="N1" s="30" t="s">
        <v>133</v>
      </c>
      <c r="O1" s="34" t="s">
        <v>369</v>
      </c>
      <c r="P1" s="34" t="s">
        <v>345</v>
      </c>
      <c r="Q1" s="34" t="s">
        <v>346</v>
      </c>
      <c r="R1" s="35" t="s">
        <v>131</v>
      </c>
      <c r="S1" s="34" t="s">
        <v>130</v>
      </c>
      <c r="T1" s="34" t="s">
        <v>129</v>
      </c>
      <c r="U1" s="34" t="s">
        <v>128</v>
      </c>
      <c r="V1" s="34" t="s">
        <v>348</v>
      </c>
      <c r="W1" s="44" t="s">
        <v>349</v>
      </c>
      <c r="X1" s="44" t="s">
        <v>350</v>
      </c>
      <c r="Y1" s="44" t="s">
        <v>127</v>
      </c>
      <c r="Z1" s="34" t="s">
        <v>126</v>
      </c>
      <c r="AA1" s="30" t="s">
        <v>125</v>
      </c>
      <c r="AB1" s="30" t="s">
        <v>233</v>
      </c>
      <c r="AC1" s="34" t="s">
        <v>124</v>
      </c>
      <c r="AD1" s="35" t="s">
        <v>234</v>
      </c>
      <c r="AE1" s="35" t="s">
        <v>235</v>
      </c>
      <c r="AF1" s="35" t="s">
        <v>344</v>
      </c>
      <c r="AG1" s="49" t="s">
        <v>107</v>
      </c>
      <c r="AH1" s="49" t="s">
        <v>172</v>
      </c>
      <c r="AI1" s="35" t="s">
        <v>236</v>
      </c>
      <c r="AJ1" s="35" t="s">
        <v>173</v>
      </c>
      <c r="AK1" s="35" t="s">
        <v>352</v>
      </c>
      <c r="AL1" s="35" t="s">
        <v>353</v>
      </c>
      <c r="AM1" s="30" t="s">
        <v>109</v>
      </c>
      <c r="AN1" s="35" t="s">
        <v>247</v>
      </c>
      <c r="AO1" s="35" t="s">
        <v>248</v>
      </c>
      <c r="AP1" s="35" t="s">
        <v>230</v>
      </c>
      <c r="AQ1" s="35" t="s">
        <v>231</v>
      </c>
      <c r="AR1" s="35" t="s">
        <v>174</v>
      </c>
      <c r="AS1" s="35" t="s">
        <v>175</v>
      </c>
      <c r="AT1" s="30" t="s">
        <v>176</v>
      </c>
      <c r="AU1" s="34" t="s">
        <v>132</v>
      </c>
    </row>
    <row r="2" spans="1:47" s="14" customFormat="1" ht="149.25" customHeight="1" x14ac:dyDescent="0.25">
      <c r="A2" s="73">
        <v>1</v>
      </c>
      <c r="B2" s="65" t="s">
        <v>15</v>
      </c>
      <c r="C2" s="73">
        <f>IFERROR(VLOOKUP(B2,UNIDADES!$A:$F,2,FALSE)," ")</f>
        <v>38</v>
      </c>
      <c r="D2" s="73" t="str">
        <f>IFERROR(VLOOKUP(B2,UNIDADES!$A:$F,4,FALSE)," ")</f>
        <v>REGIÓN 1</v>
      </c>
      <c r="E2" s="73" t="str">
        <f>IFERROR(VLOOKUP(B2,UNIDADES!$A:$F,5,FALSE)," ")</f>
        <v>DEPARTAMENTO DE POLICÍA SAN ANDRÉS Y PROVIDENCIA</v>
      </c>
      <c r="F2" s="73" t="str">
        <f>IFERROR(VLOOKUP(B2,UNIDADES!$A:$F,6,FALSE)," ")</f>
        <v>800141053-7</v>
      </c>
      <c r="G2" s="56" t="s">
        <v>15</v>
      </c>
      <c r="H2" s="56" t="s">
        <v>372</v>
      </c>
      <c r="I2" s="57" t="s">
        <v>373</v>
      </c>
      <c r="J2" s="58">
        <v>381493079.58999997</v>
      </c>
      <c r="K2" s="58"/>
      <c r="L2" s="67">
        <f>+J2+K2</f>
        <v>381493079.58999997</v>
      </c>
      <c r="M2" s="58"/>
      <c r="N2" s="67">
        <f>+L2+M2</f>
        <v>381493079.58999997</v>
      </c>
      <c r="O2" s="72">
        <v>0</v>
      </c>
      <c r="P2" s="59">
        <v>42935</v>
      </c>
      <c r="Q2" s="59">
        <v>42937</v>
      </c>
      <c r="R2" s="58">
        <v>381493079.58999997</v>
      </c>
      <c r="S2" s="56" t="s">
        <v>374</v>
      </c>
      <c r="T2" s="65" t="s">
        <v>116</v>
      </c>
      <c r="U2" s="56" t="s">
        <v>375</v>
      </c>
      <c r="V2" s="65" t="s">
        <v>362</v>
      </c>
      <c r="W2" s="61">
        <v>42934</v>
      </c>
      <c r="X2" s="61">
        <v>42935</v>
      </c>
      <c r="Y2" s="61">
        <v>42976</v>
      </c>
      <c r="Z2" s="56" t="s">
        <v>363</v>
      </c>
      <c r="AA2" s="68" t="s">
        <v>376</v>
      </c>
      <c r="AB2" s="71">
        <f>+N2+O2-AM2</f>
        <v>0</v>
      </c>
      <c r="AC2" s="56" t="s">
        <v>377</v>
      </c>
      <c r="AD2" s="56" t="s">
        <v>378</v>
      </c>
      <c r="AE2" s="62">
        <v>42976</v>
      </c>
      <c r="AF2" s="76" t="s">
        <v>373</v>
      </c>
      <c r="AG2" s="56" t="s">
        <v>379</v>
      </c>
      <c r="AH2" s="56" t="s">
        <v>380</v>
      </c>
      <c r="AI2" s="56" t="s">
        <v>354</v>
      </c>
      <c r="AJ2" s="56" t="s">
        <v>381</v>
      </c>
      <c r="AK2" s="63">
        <v>381493079.58999997</v>
      </c>
      <c r="AL2" s="70">
        <v>0</v>
      </c>
      <c r="AM2" s="67">
        <f>+AK2+AL2</f>
        <v>381493079.58999997</v>
      </c>
      <c r="AN2" s="58">
        <v>381493079.58999997</v>
      </c>
      <c r="AO2" s="58">
        <v>381493079.58999997</v>
      </c>
      <c r="AP2" s="61">
        <v>42979</v>
      </c>
      <c r="AQ2" s="61">
        <v>43404</v>
      </c>
      <c r="AR2" s="65" t="s">
        <v>226</v>
      </c>
      <c r="AS2" s="64">
        <f>35302745+800970+34461432.5+1022685+35992672.5+690368+35000000+793485.95+34814172.82+898270+33994818.75+821520+37280008.54+763005+324800+1261540+901574+33642481.02+781400+204341.38+1489041.34+1044200.02+37217701.52+582990+207400+2044570+729685+36162420.94+506810+84240+1907730+367920+34075759.49+1408+697560+252720+1210546+938549.43+35903111.39+1247700+603666+336960+931694.4+31154929.25+261751.24+876475+1335158.66+36486503.28+161404.12+2748825.62+2366576.06+437115.95+929267.31+1635816.81+838872.66</f>
        <v>527529369.94999999</v>
      </c>
      <c r="AT2" s="66">
        <f>+AM2-AS2-13341410.64+26200000+131000000+2177701</f>
        <v>0</v>
      </c>
      <c r="AU2" s="65" t="s">
        <v>153</v>
      </c>
    </row>
    <row r="3" spans="1:47" s="14" customFormat="1" ht="147.75" customHeight="1" x14ac:dyDescent="0.25">
      <c r="A3" s="73">
        <v>2</v>
      </c>
      <c r="B3" s="65" t="s">
        <v>15</v>
      </c>
      <c r="C3" s="73">
        <f>IFERROR(VLOOKUP(B3,UNIDADES!$A:$F,2,FALSE)," ")</f>
        <v>38</v>
      </c>
      <c r="D3" s="73" t="str">
        <f>IFERROR(VLOOKUP(B3,UNIDADES!$A:$F,4,FALSE)," ")</f>
        <v>REGIÓN 1</v>
      </c>
      <c r="E3" s="73" t="str">
        <f>IFERROR(VLOOKUP(B3,UNIDADES!$A:$F,5,FALSE)," ")</f>
        <v>DEPARTAMENTO DE POLICÍA SAN ANDRÉS Y PROVIDENCIA</v>
      </c>
      <c r="F3" s="73" t="str">
        <f>IFERROR(VLOOKUP(B3,UNIDADES!$A:$F,6,FALSE)," ")</f>
        <v>800141053-7</v>
      </c>
      <c r="G3" s="56" t="s">
        <v>15</v>
      </c>
      <c r="H3" s="56" t="s">
        <v>372</v>
      </c>
      <c r="I3" s="57" t="s">
        <v>388</v>
      </c>
      <c r="J3" s="58">
        <v>234291730</v>
      </c>
      <c r="K3" s="38"/>
      <c r="L3" s="67">
        <f t="shared" ref="L3:L63" si="0">+J3+K3</f>
        <v>234291730</v>
      </c>
      <c r="M3" s="70"/>
      <c r="N3" s="67">
        <f t="shared" ref="N3:N63" si="1">+L3+M3</f>
        <v>234291730</v>
      </c>
      <c r="O3" s="37">
        <v>0</v>
      </c>
      <c r="P3" s="59">
        <v>43038</v>
      </c>
      <c r="Q3" s="59">
        <v>43043</v>
      </c>
      <c r="R3" s="58">
        <v>234291730</v>
      </c>
      <c r="S3" s="56" t="s">
        <v>374</v>
      </c>
      <c r="T3" s="65" t="s">
        <v>116</v>
      </c>
      <c r="U3" s="56" t="s">
        <v>389</v>
      </c>
      <c r="V3" s="65" t="s">
        <v>365</v>
      </c>
      <c r="W3" s="61">
        <v>43038</v>
      </c>
      <c r="X3" s="61">
        <v>43043</v>
      </c>
      <c r="Y3" s="61">
        <v>43082</v>
      </c>
      <c r="Z3" s="56" t="s">
        <v>367</v>
      </c>
      <c r="AA3" s="68" t="str">
        <f t="shared" ref="AA3:AA29" si="2">IFERROR(IF(AE3&lt;=Y3,"CUMPLIÓ","NO CUMPLIÓ")," ")</f>
        <v>CUMPLIÓ</v>
      </c>
      <c r="AB3" s="71">
        <f t="shared" ref="AB3:AB66" si="3">+N3+O3-AM3</f>
        <v>0</v>
      </c>
      <c r="AC3" s="56" t="s">
        <v>390</v>
      </c>
      <c r="AD3" s="56" t="s">
        <v>391</v>
      </c>
      <c r="AE3" s="62">
        <v>43082</v>
      </c>
      <c r="AF3" s="90" t="s">
        <v>388</v>
      </c>
      <c r="AG3" s="56" t="s">
        <v>392</v>
      </c>
      <c r="AH3" s="56" t="s">
        <v>393</v>
      </c>
      <c r="AI3" s="56" t="s">
        <v>354</v>
      </c>
      <c r="AJ3" s="56" t="s">
        <v>394</v>
      </c>
      <c r="AK3" s="63">
        <v>234291730</v>
      </c>
      <c r="AL3" s="70">
        <v>0</v>
      </c>
      <c r="AM3" s="67">
        <f t="shared" ref="AM3:AM66" si="4">+AK3+AL3</f>
        <v>234291730</v>
      </c>
      <c r="AN3" s="58">
        <v>234291730</v>
      </c>
      <c r="AO3" s="58">
        <v>234291730</v>
      </c>
      <c r="AP3" s="61">
        <v>43084</v>
      </c>
      <c r="AQ3" s="61">
        <v>43434</v>
      </c>
      <c r="AR3" s="65" t="s">
        <v>226</v>
      </c>
      <c r="AS3" s="70">
        <f>1791730+80000000+11756000+577000+33345000+6026000+17685000+5152000+3835000+98000+426000+592000+9901000+1958000+12675000+392000+4047000+29113000+482000+4387000+1433000+11635000+8877000+2608000</f>
        <v>248791730</v>
      </c>
      <c r="AT3" s="66">
        <f>+AM3-AS3+14500000</f>
        <v>0</v>
      </c>
      <c r="AU3" s="65" t="s">
        <v>153</v>
      </c>
    </row>
    <row r="4" spans="1:47" s="14" customFormat="1" ht="64.5" customHeight="1" x14ac:dyDescent="0.25">
      <c r="A4" s="73">
        <v>3</v>
      </c>
      <c r="B4" s="65" t="s">
        <v>15</v>
      </c>
      <c r="C4" s="73">
        <f>IFERROR(VLOOKUP(B4,UNIDADES!$A:$F,2,FALSE)," ")</f>
        <v>38</v>
      </c>
      <c r="D4" s="73" t="str">
        <f>IFERROR(VLOOKUP(B4,UNIDADES!$A:$F,4,FALSE)," ")</f>
        <v>REGIÓN 1</v>
      </c>
      <c r="E4" s="73" t="str">
        <f>IFERROR(VLOOKUP(B4,UNIDADES!$A:$F,5,FALSE)," ")</f>
        <v>DEPARTAMENTO DE POLICÍA SAN ANDRÉS Y PROVIDENCIA</v>
      </c>
      <c r="F4" s="73" t="str">
        <f>IFERROR(VLOOKUP(B4,UNIDADES!$A:$F,6,FALSE)," ")</f>
        <v>800141053-7</v>
      </c>
      <c r="G4" s="56" t="s">
        <v>15</v>
      </c>
      <c r="H4" s="56" t="s">
        <v>372</v>
      </c>
      <c r="I4" s="60" t="s">
        <v>395</v>
      </c>
      <c r="J4" s="58">
        <v>257555</v>
      </c>
      <c r="K4" s="58">
        <v>257555</v>
      </c>
      <c r="L4" s="67">
        <f t="shared" si="0"/>
        <v>515110</v>
      </c>
      <c r="M4" s="70"/>
      <c r="N4" s="67">
        <f t="shared" si="1"/>
        <v>515110</v>
      </c>
      <c r="O4" s="60">
        <v>0</v>
      </c>
      <c r="P4" s="59">
        <v>43061</v>
      </c>
      <c r="Q4" s="59">
        <v>43071</v>
      </c>
      <c r="R4" s="58">
        <v>515110</v>
      </c>
      <c r="S4" s="56" t="s">
        <v>416</v>
      </c>
      <c r="T4" s="65" t="s">
        <v>120</v>
      </c>
      <c r="U4" s="56">
        <v>23023</v>
      </c>
      <c r="V4" s="65" t="s">
        <v>366</v>
      </c>
      <c r="W4" s="61">
        <v>43055</v>
      </c>
      <c r="X4" s="61">
        <v>43071</v>
      </c>
      <c r="Y4" s="61" t="s">
        <v>442</v>
      </c>
      <c r="Z4" s="56" t="s">
        <v>367</v>
      </c>
      <c r="AA4" s="68" t="str">
        <f t="shared" si="2"/>
        <v>CUMPLIÓ</v>
      </c>
      <c r="AB4" s="71">
        <f t="shared" si="3"/>
        <v>0</v>
      </c>
      <c r="AC4" s="56">
        <v>23023</v>
      </c>
      <c r="AD4" s="56">
        <v>23023</v>
      </c>
      <c r="AE4" s="62">
        <v>43073</v>
      </c>
      <c r="AF4" s="76" t="s">
        <v>395</v>
      </c>
      <c r="AG4" s="56" t="s">
        <v>445</v>
      </c>
      <c r="AH4" s="69" t="s">
        <v>446</v>
      </c>
      <c r="AI4" s="56" t="s">
        <v>354</v>
      </c>
      <c r="AJ4" s="56" t="s">
        <v>447</v>
      </c>
      <c r="AK4" s="63">
        <v>515110</v>
      </c>
      <c r="AL4" s="60">
        <v>0</v>
      </c>
      <c r="AM4" s="67">
        <f t="shared" si="4"/>
        <v>515110</v>
      </c>
      <c r="AN4" s="58">
        <v>515110</v>
      </c>
      <c r="AO4" s="58">
        <v>515110</v>
      </c>
      <c r="AP4" s="61">
        <v>43073</v>
      </c>
      <c r="AQ4" s="61">
        <v>43280</v>
      </c>
      <c r="AR4" s="65" t="s">
        <v>237</v>
      </c>
      <c r="AS4" s="58">
        <v>515110</v>
      </c>
      <c r="AT4" s="66">
        <f t="shared" ref="AT4:AT9" si="5">+AM4-AS4</f>
        <v>0</v>
      </c>
      <c r="AU4" s="65" t="s">
        <v>153</v>
      </c>
    </row>
    <row r="5" spans="1:47" s="14" customFormat="1" ht="45" x14ac:dyDescent="0.25">
      <c r="A5" s="73">
        <v>4</v>
      </c>
      <c r="B5" s="65" t="s">
        <v>15</v>
      </c>
      <c r="C5" s="73">
        <f>IFERROR(VLOOKUP(B5,UNIDADES!$A:$F,2,FALSE)," ")</f>
        <v>38</v>
      </c>
      <c r="D5" s="73" t="str">
        <f>IFERROR(VLOOKUP(B5,UNIDADES!$A:$F,4,FALSE)," ")</f>
        <v>REGIÓN 1</v>
      </c>
      <c r="E5" s="73" t="str">
        <f>IFERROR(VLOOKUP(B5,UNIDADES!$A:$F,5,FALSE)," ")</f>
        <v>DEPARTAMENTO DE POLICÍA SAN ANDRÉS Y PROVIDENCIA</v>
      </c>
      <c r="F5" s="73" t="str">
        <f>IFERROR(VLOOKUP(B5,UNIDADES!$A:$F,6,FALSE)," ")</f>
        <v>800141053-7</v>
      </c>
      <c r="G5" s="56" t="s">
        <v>15</v>
      </c>
      <c r="H5" s="56" t="s">
        <v>372</v>
      </c>
      <c r="I5" s="60" t="s">
        <v>395</v>
      </c>
      <c r="J5" s="58">
        <v>7445723.3700000001</v>
      </c>
      <c r="K5" s="58">
        <v>284033.61</v>
      </c>
      <c r="L5" s="67">
        <f t="shared" si="0"/>
        <v>7729756.9800000004</v>
      </c>
      <c r="M5" s="70"/>
      <c r="N5" s="67">
        <f t="shared" si="1"/>
        <v>7729756.9800000004</v>
      </c>
      <c r="O5" s="60">
        <v>0</v>
      </c>
      <c r="P5" s="59">
        <v>43061</v>
      </c>
      <c r="Q5" s="59">
        <v>43071</v>
      </c>
      <c r="R5" s="58">
        <v>7729756.9800000004</v>
      </c>
      <c r="S5" s="56" t="s">
        <v>416</v>
      </c>
      <c r="T5" s="65" t="s">
        <v>120</v>
      </c>
      <c r="U5" s="56">
        <v>23024</v>
      </c>
      <c r="V5" s="65" t="s">
        <v>366</v>
      </c>
      <c r="W5" s="61">
        <v>43055</v>
      </c>
      <c r="X5" s="61">
        <v>43071</v>
      </c>
      <c r="Y5" s="61">
        <v>43073</v>
      </c>
      <c r="Z5" s="56" t="s">
        <v>367</v>
      </c>
      <c r="AA5" s="68" t="str">
        <f t="shared" si="2"/>
        <v>CUMPLIÓ</v>
      </c>
      <c r="AB5" s="71">
        <f t="shared" si="3"/>
        <v>0</v>
      </c>
      <c r="AC5" s="56">
        <v>23024</v>
      </c>
      <c r="AD5" s="56">
        <v>23024</v>
      </c>
      <c r="AE5" s="62">
        <v>43073</v>
      </c>
      <c r="AF5" s="90" t="s">
        <v>395</v>
      </c>
      <c r="AG5" s="56" t="s">
        <v>448</v>
      </c>
      <c r="AH5" s="56" t="s">
        <v>449</v>
      </c>
      <c r="AI5" s="56" t="s">
        <v>354</v>
      </c>
      <c r="AJ5" s="56" t="s">
        <v>450</v>
      </c>
      <c r="AK5" s="63">
        <v>7729756.9800000004</v>
      </c>
      <c r="AL5" s="60"/>
      <c r="AM5" s="67">
        <f t="shared" si="4"/>
        <v>7729756.9800000004</v>
      </c>
      <c r="AN5" s="58">
        <v>7729756.9800000004</v>
      </c>
      <c r="AO5" s="58">
        <v>7729756.9800000004</v>
      </c>
      <c r="AP5" s="61">
        <v>43073</v>
      </c>
      <c r="AQ5" s="61">
        <v>43280</v>
      </c>
      <c r="AR5" s="65" t="s">
        <v>237</v>
      </c>
      <c r="AS5" s="70">
        <f>284033.61+4518398.04+2546218.48</f>
        <v>7348650.1300000008</v>
      </c>
      <c r="AT5" s="66">
        <f>+AM5-AS5-381106.85</f>
        <v>0</v>
      </c>
      <c r="AU5" s="65" t="s">
        <v>153</v>
      </c>
    </row>
    <row r="6" spans="1:47" s="14" customFormat="1" ht="45" x14ac:dyDescent="0.25">
      <c r="A6" s="73">
        <v>5</v>
      </c>
      <c r="B6" s="65" t="s">
        <v>15</v>
      </c>
      <c r="C6" s="73">
        <f>IFERROR(VLOOKUP(B6,UNIDADES!$A:$F,2,FALSE)," ")</f>
        <v>38</v>
      </c>
      <c r="D6" s="73" t="str">
        <f>IFERROR(VLOOKUP(B6,UNIDADES!$A:$F,4,FALSE)," ")</f>
        <v>REGIÓN 1</v>
      </c>
      <c r="E6" s="73" t="str">
        <f>IFERROR(VLOOKUP(B6,UNIDADES!$A:$F,5,FALSE)," ")</f>
        <v>DEPARTAMENTO DE POLICÍA SAN ANDRÉS Y PROVIDENCIA</v>
      </c>
      <c r="F6" s="73" t="str">
        <f>IFERROR(VLOOKUP(B6,UNIDADES!$A:$F,6,FALSE)," ")</f>
        <v>800141053-7</v>
      </c>
      <c r="G6" s="56" t="s">
        <v>15</v>
      </c>
      <c r="H6" s="56" t="s">
        <v>372</v>
      </c>
      <c r="I6" s="60" t="s">
        <v>395</v>
      </c>
      <c r="J6" s="58">
        <v>2165427</v>
      </c>
      <c r="K6" s="58">
        <v>247555</v>
      </c>
      <c r="L6" s="67">
        <f t="shared" si="0"/>
        <v>2412982</v>
      </c>
      <c r="M6" s="70"/>
      <c r="N6" s="67">
        <f t="shared" si="1"/>
        <v>2412982</v>
      </c>
      <c r="O6" s="60">
        <v>0</v>
      </c>
      <c r="P6" s="59">
        <v>43061</v>
      </c>
      <c r="Q6" s="59">
        <v>43071</v>
      </c>
      <c r="R6" s="58">
        <v>2412982</v>
      </c>
      <c r="S6" s="56" t="s">
        <v>416</v>
      </c>
      <c r="T6" s="65" t="s">
        <v>120</v>
      </c>
      <c r="U6" s="56">
        <v>23025</v>
      </c>
      <c r="V6" s="65" t="s">
        <v>366</v>
      </c>
      <c r="W6" s="61">
        <v>43055</v>
      </c>
      <c r="X6" s="61">
        <v>43071</v>
      </c>
      <c r="Y6" s="61">
        <v>43073</v>
      </c>
      <c r="Z6" s="56" t="s">
        <v>367</v>
      </c>
      <c r="AA6" s="68" t="str">
        <f t="shared" si="2"/>
        <v>CUMPLIÓ</v>
      </c>
      <c r="AB6" s="71">
        <f t="shared" si="3"/>
        <v>0</v>
      </c>
      <c r="AC6" s="56">
        <v>23025</v>
      </c>
      <c r="AD6" s="56">
        <v>23025</v>
      </c>
      <c r="AE6" s="62">
        <v>43073</v>
      </c>
      <c r="AF6" s="76" t="s">
        <v>395</v>
      </c>
      <c r="AG6" s="56" t="s">
        <v>445</v>
      </c>
      <c r="AH6" s="69" t="s">
        <v>446</v>
      </c>
      <c r="AI6" s="56" t="s">
        <v>354</v>
      </c>
      <c r="AJ6" s="56" t="s">
        <v>447</v>
      </c>
      <c r="AK6" s="63">
        <v>2412982</v>
      </c>
      <c r="AL6" s="60"/>
      <c r="AM6" s="67">
        <f t="shared" si="4"/>
        <v>2412982</v>
      </c>
      <c r="AN6" s="58">
        <v>2412982</v>
      </c>
      <c r="AO6" s="58">
        <v>2412982</v>
      </c>
      <c r="AP6" s="61">
        <v>43073</v>
      </c>
      <c r="AQ6" s="61">
        <v>43280</v>
      </c>
      <c r="AR6" s="65" t="s">
        <v>237</v>
      </c>
      <c r="AS6" s="70">
        <f>247555+2165427</f>
        <v>2412982</v>
      </c>
      <c r="AT6" s="66">
        <f t="shared" si="5"/>
        <v>0</v>
      </c>
      <c r="AU6" s="65" t="s">
        <v>153</v>
      </c>
    </row>
    <row r="7" spans="1:47" s="14" customFormat="1" ht="135.75" customHeight="1" x14ac:dyDescent="0.25">
      <c r="A7" s="73">
        <v>6</v>
      </c>
      <c r="B7" s="65" t="s">
        <v>15</v>
      </c>
      <c r="C7" s="73">
        <f>IFERROR(VLOOKUP(B7,UNIDADES!$A:$F,2,FALSE)," ")</f>
        <v>38</v>
      </c>
      <c r="D7" s="73" t="str">
        <f>IFERROR(VLOOKUP(B7,UNIDADES!$A:$F,4,FALSE)," ")</f>
        <v>REGIÓN 1</v>
      </c>
      <c r="E7" s="73" t="str">
        <f>IFERROR(VLOOKUP(B7,UNIDADES!$A:$F,5,FALSE)," ")</f>
        <v>DEPARTAMENTO DE POLICÍA SAN ANDRÉS Y PROVIDENCIA</v>
      </c>
      <c r="F7" s="73" t="str">
        <f>IFERROR(VLOOKUP(B7,UNIDADES!$A:$F,6,FALSE)," ")</f>
        <v>800141053-7</v>
      </c>
      <c r="G7" s="56" t="s">
        <v>15</v>
      </c>
      <c r="H7" s="56" t="s">
        <v>372</v>
      </c>
      <c r="I7" s="57" t="s">
        <v>396</v>
      </c>
      <c r="J7" s="58">
        <v>260749165.53999999</v>
      </c>
      <c r="K7" s="58">
        <v>45474674</v>
      </c>
      <c r="L7" s="67">
        <f t="shared" si="0"/>
        <v>306223839.53999996</v>
      </c>
      <c r="M7" s="70"/>
      <c r="N7" s="67">
        <f t="shared" si="1"/>
        <v>306223839.53999996</v>
      </c>
      <c r="O7" s="60">
        <v>0</v>
      </c>
      <c r="P7" s="59">
        <v>43056</v>
      </c>
      <c r="Q7" s="59">
        <v>43059</v>
      </c>
      <c r="R7" s="58">
        <v>306223839.54000002</v>
      </c>
      <c r="S7" s="56" t="s">
        <v>374</v>
      </c>
      <c r="T7" s="65" t="s">
        <v>116</v>
      </c>
      <c r="U7" s="56" t="s">
        <v>422</v>
      </c>
      <c r="V7" s="65" t="s">
        <v>366</v>
      </c>
      <c r="W7" s="61">
        <v>43056</v>
      </c>
      <c r="X7" s="61">
        <v>43059</v>
      </c>
      <c r="Y7" s="61">
        <v>43090</v>
      </c>
      <c r="Z7" s="56" t="s">
        <v>367</v>
      </c>
      <c r="AA7" s="68" t="str">
        <f t="shared" si="2"/>
        <v>CUMPLIÓ</v>
      </c>
      <c r="AB7" s="71">
        <f t="shared" si="3"/>
        <v>0</v>
      </c>
      <c r="AC7" s="56" t="s">
        <v>451</v>
      </c>
      <c r="AD7" s="56" t="s">
        <v>452</v>
      </c>
      <c r="AE7" s="62">
        <v>43090</v>
      </c>
      <c r="AF7" s="76" t="s">
        <v>396</v>
      </c>
      <c r="AG7" s="56" t="s">
        <v>392</v>
      </c>
      <c r="AH7" s="56" t="s">
        <v>453</v>
      </c>
      <c r="AI7" s="56" t="s">
        <v>354</v>
      </c>
      <c r="AJ7" s="56" t="s">
        <v>394</v>
      </c>
      <c r="AK7" s="63">
        <v>306223839.54000002</v>
      </c>
      <c r="AL7" s="60"/>
      <c r="AM7" s="67">
        <f t="shared" si="4"/>
        <v>306223839.54000002</v>
      </c>
      <c r="AN7" s="58">
        <v>306223839.54000002</v>
      </c>
      <c r="AO7" s="58">
        <v>306223839.54000002</v>
      </c>
      <c r="AP7" s="61">
        <v>43091</v>
      </c>
      <c r="AQ7" s="61">
        <v>43404</v>
      </c>
      <c r="AR7" s="65" t="s">
        <v>226</v>
      </c>
      <c r="AS7" s="70">
        <f>4000000+82574775.54+854000+32770000+88402000+4874000+28145000+1775000+18537000+3859000+3233000+43607000+19000+1200000+46242000+5887000+214000+1380000+30619715+1669512+348000+765000+619000+1764000+2617000</f>
        <v>405975002.54000002</v>
      </c>
      <c r="AT7" s="66">
        <f>+AM7-AS7+22300000+160000000-40000000+2925837-45474674</f>
        <v>0</v>
      </c>
      <c r="AU7" s="65" t="s">
        <v>153</v>
      </c>
    </row>
    <row r="8" spans="1:47" s="14" customFormat="1" ht="45" x14ac:dyDescent="0.25">
      <c r="A8" s="73">
        <v>7</v>
      </c>
      <c r="B8" s="65" t="s">
        <v>15</v>
      </c>
      <c r="C8" s="73">
        <f>IFERROR(VLOOKUP(B8,UNIDADES!$A:$F,2,FALSE)," ")</f>
        <v>38</v>
      </c>
      <c r="D8" s="73" t="str">
        <f>IFERROR(VLOOKUP(B8,UNIDADES!$A:$F,4,FALSE)," ")</f>
        <v>REGIÓN 1</v>
      </c>
      <c r="E8" s="73" t="str">
        <f>IFERROR(VLOOKUP(B8,UNIDADES!$A:$F,5,FALSE)," ")</f>
        <v>DEPARTAMENTO DE POLICÍA SAN ANDRÉS Y PROVIDENCIA</v>
      </c>
      <c r="F8" s="73" t="str">
        <f>IFERROR(VLOOKUP(B8,UNIDADES!$A:$F,6,FALSE)," ")</f>
        <v>800141053-7</v>
      </c>
      <c r="G8" s="56" t="s">
        <v>15</v>
      </c>
      <c r="H8" s="56" t="s">
        <v>372</v>
      </c>
      <c r="I8" s="57" t="s">
        <v>397</v>
      </c>
      <c r="J8" s="58">
        <v>7000000</v>
      </c>
      <c r="K8" s="58"/>
      <c r="L8" s="67">
        <f t="shared" si="0"/>
        <v>7000000</v>
      </c>
      <c r="M8" s="70"/>
      <c r="N8" s="67">
        <f t="shared" si="1"/>
        <v>7000000</v>
      </c>
      <c r="O8" s="60">
        <v>0</v>
      </c>
      <c r="P8" s="59">
        <v>43140</v>
      </c>
      <c r="Q8" s="59">
        <v>43146</v>
      </c>
      <c r="R8" s="58">
        <v>7000000</v>
      </c>
      <c r="S8" s="56" t="s">
        <v>382</v>
      </c>
      <c r="T8" s="65" t="s">
        <v>143</v>
      </c>
      <c r="U8" s="56" t="s">
        <v>423</v>
      </c>
      <c r="V8" s="65" t="s">
        <v>357</v>
      </c>
      <c r="W8" s="61">
        <v>43140</v>
      </c>
      <c r="X8" s="61">
        <v>43146</v>
      </c>
      <c r="Y8" s="61">
        <v>43158</v>
      </c>
      <c r="Z8" s="56" t="s">
        <v>357</v>
      </c>
      <c r="AA8" s="68" t="str">
        <f t="shared" si="2"/>
        <v>NO CUMPLIÓ</v>
      </c>
      <c r="AB8" s="71">
        <f t="shared" si="3"/>
        <v>0</v>
      </c>
      <c r="AC8" s="56" t="s">
        <v>454</v>
      </c>
      <c r="AD8" s="56" t="s">
        <v>455</v>
      </c>
      <c r="AE8" s="56" t="s">
        <v>456</v>
      </c>
      <c r="AF8" s="76" t="s">
        <v>397</v>
      </c>
      <c r="AG8" s="56" t="s">
        <v>457</v>
      </c>
      <c r="AH8" s="56" t="s">
        <v>458</v>
      </c>
      <c r="AI8" s="56" t="s">
        <v>354</v>
      </c>
      <c r="AJ8" s="56" t="s">
        <v>459</v>
      </c>
      <c r="AK8" s="63">
        <v>7000000</v>
      </c>
      <c r="AL8" s="60"/>
      <c r="AM8" s="67">
        <f t="shared" si="4"/>
        <v>7000000</v>
      </c>
      <c r="AN8" s="58">
        <v>7000000</v>
      </c>
      <c r="AO8" s="58">
        <v>7000000</v>
      </c>
      <c r="AP8" s="61">
        <v>43160</v>
      </c>
      <c r="AQ8" s="61">
        <v>43459</v>
      </c>
      <c r="AR8" s="65" t="s">
        <v>226</v>
      </c>
      <c r="AS8" s="70">
        <f>2236500+1742000+2272000+749500</f>
        <v>7000000</v>
      </c>
      <c r="AT8" s="66">
        <f t="shared" si="5"/>
        <v>0</v>
      </c>
      <c r="AU8" s="65" t="s">
        <v>153</v>
      </c>
    </row>
    <row r="9" spans="1:47" s="14" customFormat="1" ht="105" x14ac:dyDescent="0.25">
      <c r="A9" s="73">
        <v>8</v>
      </c>
      <c r="B9" s="65" t="s">
        <v>15</v>
      </c>
      <c r="C9" s="73">
        <f>IFERROR(VLOOKUP(B9,UNIDADES!$A:$F,2,FALSE)," ")</f>
        <v>38</v>
      </c>
      <c r="D9" s="73" t="str">
        <f>IFERROR(VLOOKUP(B9,UNIDADES!$A:$F,4,FALSE)," ")</f>
        <v>REGIÓN 1</v>
      </c>
      <c r="E9" s="73" t="str">
        <f>IFERROR(VLOOKUP(B9,UNIDADES!$A:$F,5,FALSE)," ")</f>
        <v>DEPARTAMENTO DE POLICÍA SAN ANDRÉS Y PROVIDENCIA</v>
      </c>
      <c r="F9" s="73" t="str">
        <f>IFERROR(VLOOKUP(B9,UNIDADES!$A:$F,6,FALSE)," ")</f>
        <v>800141053-7</v>
      </c>
      <c r="G9" s="56" t="s">
        <v>15</v>
      </c>
      <c r="H9" s="56" t="s">
        <v>372</v>
      </c>
      <c r="I9" s="57" t="s">
        <v>398</v>
      </c>
      <c r="J9" s="58">
        <v>27666666</v>
      </c>
      <c r="K9" s="58"/>
      <c r="L9" s="67">
        <f t="shared" si="0"/>
        <v>27666666</v>
      </c>
      <c r="M9" s="70"/>
      <c r="N9" s="67">
        <f t="shared" si="1"/>
        <v>27666666</v>
      </c>
      <c r="O9" s="60">
        <v>0</v>
      </c>
      <c r="P9" s="59">
        <v>43137</v>
      </c>
      <c r="Q9" s="59">
        <v>43140</v>
      </c>
      <c r="R9" s="58">
        <v>27666666</v>
      </c>
      <c r="S9" s="56" t="s">
        <v>382</v>
      </c>
      <c r="T9" s="65" t="s">
        <v>143</v>
      </c>
      <c r="U9" s="56" t="s">
        <v>424</v>
      </c>
      <c r="V9" s="65" t="s">
        <v>357</v>
      </c>
      <c r="W9" s="61">
        <v>43137</v>
      </c>
      <c r="X9" s="61">
        <v>43140</v>
      </c>
      <c r="Y9" s="61">
        <v>43154</v>
      </c>
      <c r="Z9" s="56" t="s">
        <v>357</v>
      </c>
      <c r="AA9" s="68" t="str">
        <f t="shared" si="2"/>
        <v>CUMPLIÓ</v>
      </c>
      <c r="AB9" s="71">
        <f t="shared" si="3"/>
        <v>0</v>
      </c>
      <c r="AC9" s="56" t="s">
        <v>460</v>
      </c>
      <c r="AD9" s="56" t="s">
        <v>461</v>
      </c>
      <c r="AE9" s="62">
        <v>43154</v>
      </c>
      <c r="AF9" s="76" t="s">
        <v>398</v>
      </c>
      <c r="AG9" s="56">
        <v>40985765</v>
      </c>
      <c r="AH9" s="56" t="s">
        <v>462</v>
      </c>
      <c r="AI9" s="56" t="s">
        <v>354</v>
      </c>
      <c r="AJ9" s="56" t="s">
        <v>462</v>
      </c>
      <c r="AK9" s="63">
        <v>27666666</v>
      </c>
      <c r="AL9" s="60"/>
      <c r="AM9" s="67">
        <f t="shared" si="4"/>
        <v>27666666</v>
      </c>
      <c r="AN9" s="58">
        <v>27666666</v>
      </c>
      <c r="AO9" s="58">
        <v>27666666</v>
      </c>
      <c r="AP9" s="61">
        <v>43160</v>
      </c>
      <c r="AQ9" s="61">
        <v>43459</v>
      </c>
      <c r="AR9" s="65" t="s">
        <v>226</v>
      </c>
      <c r="AS9" s="70">
        <f>4975000+12600000+10091666</f>
        <v>27666666</v>
      </c>
      <c r="AT9" s="66">
        <f t="shared" si="5"/>
        <v>0</v>
      </c>
      <c r="AU9" s="65" t="s">
        <v>153</v>
      </c>
    </row>
    <row r="10" spans="1:47" s="14" customFormat="1" ht="60" x14ac:dyDescent="0.25">
      <c r="A10" s="73">
        <v>9</v>
      </c>
      <c r="B10" s="65" t="s">
        <v>15</v>
      </c>
      <c r="C10" s="73">
        <f>IFERROR(VLOOKUP(B10,UNIDADES!$A:$F,2,FALSE)," ")</f>
        <v>38</v>
      </c>
      <c r="D10" s="73" t="str">
        <f>IFERROR(VLOOKUP(B10,UNIDADES!$A:$F,4,FALSE)," ")</f>
        <v>REGIÓN 1</v>
      </c>
      <c r="E10" s="73" t="str">
        <f>IFERROR(VLOOKUP(B10,UNIDADES!$A:$F,5,FALSE)," ")</f>
        <v>DEPARTAMENTO DE POLICÍA SAN ANDRÉS Y PROVIDENCIA</v>
      </c>
      <c r="F10" s="73" t="str">
        <f>IFERROR(VLOOKUP(B10,UNIDADES!$A:$F,6,FALSE)," ")</f>
        <v>800141053-7</v>
      </c>
      <c r="G10" s="56" t="s">
        <v>15</v>
      </c>
      <c r="H10" s="56" t="s">
        <v>372</v>
      </c>
      <c r="I10" s="57" t="s">
        <v>399</v>
      </c>
      <c r="J10" s="58">
        <v>1000000</v>
      </c>
      <c r="K10" s="58"/>
      <c r="L10" s="67">
        <f t="shared" si="0"/>
        <v>1000000</v>
      </c>
      <c r="M10" s="70"/>
      <c r="N10" s="67">
        <f t="shared" si="1"/>
        <v>1000000</v>
      </c>
      <c r="O10" s="60">
        <v>0</v>
      </c>
      <c r="P10" s="59">
        <v>43126</v>
      </c>
      <c r="Q10" s="59">
        <v>43129</v>
      </c>
      <c r="R10" s="58">
        <v>1000000</v>
      </c>
      <c r="S10" s="56" t="s">
        <v>417</v>
      </c>
      <c r="T10" s="65" t="s">
        <v>120</v>
      </c>
      <c r="U10" s="56">
        <v>25683</v>
      </c>
      <c r="V10" s="65" t="s">
        <v>355</v>
      </c>
      <c r="W10" s="61" t="s">
        <v>443</v>
      </c>
      <c r="X10" s="61">
        <v>43129</v>
      </c>
      <c r="Y10" s="61">
        <v>43151</v>
      </c>
      <c r="Z10" s="56" t="s">
        <v>357</v>
      </c>
      <c r="AA10" s="68" t="str">
        <f t="shared" si="2"/>
        <v>CUMPLIÓ</v>
      </c>
      <c r="AB10" s="71">
        <f t="shared" si="3"/>
        <v>0</v>
      </c>
      <c r="AC10" s="56">
        <v>25683</v>
      </c>
      <c r="AD10" s="56">
        <v>25683</v>
      </c>
      <c r="AE10" s="62">
        <v>43151</v>
      </c>
      <c r="AF10" s="76" t="s">
        <v>463</v>
      </c>
      <c r="AG10" s="56">
        <v>9000629179</v>
      </c>
      <c r="AH10" s="56" t="s">
        <v>464</v>
      </c>
      <c r="AI10" s="56" t="s">
        <v>354</v>
      </c>
      <c r="AJ10" s="56" t="s">
        <v>465</v>
      </c>
      <c r="AK10" s="63">
        <v>1000000</v>
      </c>
      <c r="AL10" s="60"/>
      <c r="AM10" s="67">
        <f t="shared" si="4"/>
        <v>1000000</v>
      </c>
      <c r="AN10" s="58">
        <v>1000000</v>
      </c>
      <c r="AO10" s="58">
        <v>1000000</v>
      </c>
      <c r="AP10" s="61">
        <v>43151</v>
      </c>
      <c r="AQ10" s="61">
        <v>43459</v>
      </c>
      <c r="AR10" s="65" t="s">
        <v>226</v>
      </c>
      <c r="AS10" s="70">
        <f>131147.1+22318.2+198883.8+10811.7+216970.2+398597.4</f>
        <v>978728.4</v>
      </c>
      <c r="AT10" s="66">
        <f>+AM10-AS10-21271.6</f>
        <v>0</v>
      </c>
      <c r="AU10" s="65" t="s">
        <v>153</v>
      </c>
    </row>
    <row r="11" spans="1:47" s="14" customFormat="1" ht="99.75" customHeight="1" x14ac:dyDescent="0.25">
      <c r="A11" s="73">
        <v>10</v>
      </c>
      <c r="B11" s="65" t="s">
        <v>15</v>
      </c>
      <c r="C11" s="73">
        <f>IFERROR(VLOOKUP(B11,UNIDADES!$A:$F,2,FALSE)," ")</f>
        <v>38</v>
      </c>
      <c r="D11" s="73" t="str">
        <f>IFERROR(VLOOKUP(B11,UNIDADES!$A:$F,4,FALSE)," ")</f>
        <v>REGIÓN 1</v>
      </c>
      <c r="E11" s="73" t="str">
        <f>IFERROR(VLOOKUP(B11,UNIDADES!$A:$F,5,FALSE)," ")</f>
        <v>DEPARTAMENTO DE POLICÍA SAN ANDRÉS Y PROVIDENCIA</v>
      </c>
      <c r="F11" s="73" t="str">
        <f>IFERROR(VLOOKUP(B11,UNIDADES!$A:$F,6,FALSE)," ")</f>
        <v>800141053-7</v>
      </c>
      <c r="G11" s="56" t="s">
        <v>15</v>
      </c>
      <c r="H11" s="56" t="s">
        <v>372</v>
      </c>
      <c r="I11" s="57" t="s">
        <v>400</v>
      </c>
      <c r="J11" s="58">
        <v>30000000</v>
      </c>
      <c r="K11" s="58"/>
      <c r="L11" s="67">
        <f t="shared" si="0"/>
        <v>30000000</v>
      </c>
      <c r="M11" s="70"/>
      <c r="N11" s="67">
        <f t="shared" si="1"/>
        <v>30000000</v>
      </c>
      <c r="O11" s="60"/>
      <c r="P11" s="59">
        <v>43122</v>
      </c>
      <c r="Q11" s="59">
        <v>43155</v>
      </c>
      <c r="R11" s="58">
        <v>30000000</v>
      </c>
      <c r="S11" s="56" t="s">
        <v>382</v>
      </c>
      <c r="T11" s="65" t="s">
        <v>120</v>
      </c>
      <c r="U11" s="56">
        <v>26013</v>
      </c>
      <c r="V11" s="65" t="s">
        <v>357</v>
      </c>
      <c r="W11" s="61">
        <v>43155</v>
      </c>
      <c r="X11" s="61">
        <v>43160</v>
      </c>
      <c r="Y11" s="61">
        <v>43160</v>
      </c>
      <c r="Z11" s="56" t="s">
        <v>358</v>
      </c>
      <c r="AA11" s="68" t="str">
        <f t="shared" si="2"/>
        <v>CUMPLIÓ</v>
      </c>
      <c r="AB11" s="71">
        <f t="shared" si="3"/>
        <v>2227560.879999999</v>
      </c>
      <c r="AC11" s="56">
        <v>26013</v>
      </c>
      <c r="AD11" s="56">
        <v>26013</v>
      </c>
      <c r="AE11" s="62">
        <v>43160</v>
      </c>
      <c r="AF11" s="89" t="s">
        <v>400</v>
      </c>
      <c r="AG11" s="56" t="s">
        <v>466</v>
      </c>
      <c r="AH11" s="56" t="s">
        <v>467</v>
      </c>
      <c r="AI11" s="56" t="s">
        <v>354</v>
      </c>
      <c r="AJ11" s="56" t="s">
        <v>468</v>
      </c>
      <c r="AK11" s="63">
        <v>27772439.120000001</v>
      </c>
      <c r="AL11" s="60"/>
      <c r="AM11" s="67">
        <f t="shared" si="4"/>
        <v>27772439.120000001</v>
      </c>
      <c r="AN11" s="58">
        <v>27772439.120000001</v>
      </c>
      <c r="AO11" s="58">
        <v>27772439.120000001</v>
      </c>
      <c r="AP11" s="61">
        <v>43160</v>
      </c>
      <c r="AQ11" s="61">
        <v>43465</v>
      </c>
      <c r="AR11" s="65" t="s">
        <v>226</v>
      </c>
      <c r="AS11" s="70">
        <f>3080004+3080004+3080004+3080004+3080004+3080004+3080004+3080004+3132407.12</f>
        <v>27772439.120000001</v>
      </c>
      <c r="AT11" s="66">
        <f t="shared" ref="AT11:AT68" si="6">+AM11-AS11</f>
        <v>0</v>
      </c>
      <c r="AU11" s="65" t="s">
        <v>153</v>
      </c>
    </row>
    <row r="12" spans="1:47" s="14" customFormat="1" ht="123" customHeight="1" x14ac:dyDescent="0.25">
      <c r="A12" s="73">
        <v>11</v>
      </c>
      <c r="B12" s="65" t="s">
        <v>15</v>
      </c>
      <c r="C12" s="73">
        <f>IFERROR(VLOOKUP(B12,UNIDADES!$A:$F,2,FALSE)," ")</f>
        <v>38</v>
      </c>
      <c r="D12" s="73" t="str">
        <f>IFERROR(VLOOKUP(B12,UNIDADES!$A:$F,4,FALSE)," ")</f>
        <v>REGIÓN 1</v>
      </c>
      <c r="E12" s="73" t="str">
        <f>IFERROR(VLOOKUP(B12,UNIDADES!$A:$F,5,FALSE)," ")</f>
        <v>DEPARTAMENTO DE POLICÍA SAN ANDRÉS Y PROVIDENCIA</v>
      </c>
      <c r="F12" s="73" t="str">
        <f>IFERROR(VLOOKUP(B12,UNIDADES!$A:$F,6,FALSE)," ")</f>
        <v>800141053-7</v>
      </c>
      <c r="G12" s="56" t="s">
        <v>15</v>
      </c>
      <c r="H12" s="56" t="s">
        <v>372</v>
      </c>
      <c r="I12" s="74" t="s">
        <v>401</v>
      </c>
      <c r="J12" s="58"/>
      <c r="K12" s="58">
        <v>33701000</v>
      </c>
      <c r="L12" s="67">
        <f t="shared" si="0"/>
        <v>33701000</v>
      </c>
      <c r="M12" s="70"/>
      <c r="N12" s="67">
        <f t="shared" si="1"/>
        <v>33701000</v>
      </c>
      <c r="O12" s="60">
        <v>0</v>
      </c>
      <c r="P12" s="59">
        <v>43159</v>
      </c>
      <c r="Q12" s="59">
        <v>43161</v>
      </c>
      <c r="R12" s="58">
        <v>33701000</v>
      </c>
      <c r="S12" s="56" t="s">
        <v>417</v>
      </c>
      <c r="T12" s="65" t="s">
        <v>143</v>
      </c>
      <c r="U12" s="56" t="s">
        <v>425</v>
      </c>
      <c r="V12" s="65" t="s">
        <v>357</v>
      </c>
      <c r="W12" s="62">
        <v>43159</v>
      </c>
      <c r="X12" s="61">
        <v>43161</v>
      </c>
      <c r="Y12" s="61">
        <v>43172</v>
      </c>
      <c r="Z12" s="56" t="s">
        <v>358</v>
      </c>
      <c r="AA12" s="68" t="str">
        <f t="shared" si="2"/>
        <v>CUMPLIÓ</v>
      </c>
      <c r="AB12" s="71">
        <f t="shared" si="3"/>
        <v>0</v>
      </c>
      <c r="AC12" s="56" t="s">
        <v>469</v>
      </c>
      <c r="AD12" s="77" t="s">
        <v>470</v>
      </c>
      <c r="AE12" s="62">
        <v>43172</v>
      </c>
      <c r="AF12" s="76" t="s">
        <v>401</v>
      </c>
      <c r="AG12" s="56" t="s">
        <v>471</v>
      </c>
      <c r="AH12" s="56" t="s">
        <v>472</v>
      </c>
      <c r="AI12" s="56" t="s">
        <v>354</v>
      </c>
      <c r="AJ12" s="56" t="s">
        <v>473</v>
      </c>
      <c r="AK12" s="63">
        <v>33701000</v>
      </c>
      <c r="AL12" s="60"/>
      <c r="AM12" s="67">
        <f t="shared" si="4"/>
        <v>33701000</v>
      </c>
      <c r="AN12" s="58">
        <v>33701000</v>
      </c>
      <c r="AO12" s="58">
        <v>33701000</v>
      </c>
      <c r="AP12" s="61">
        <v>43186</v>
      </c>
      <c r="AQ12" s="61">
        <v>43462</v>
      </c>
      <c r="AR12" s="65" t="s">
        <v>226</v>
      </c>
      <c r="AS12" s="70">
        <f>4550000+2080000+2000000+1600000+4030000+1170000+11825000+6446000</f>
        <v>33701000</v>
      </c>
      <c r="AT12" s="66">
        <f t="shared" si="6"/>
        <v>0</v>
      </c>
      <c r="AU12" s="65" t="s">
        <v>153</v>
      </c>
    </row>
    <row r="13" spans="1:47" s="14" customFormat="1" ht="75" x14ac:dyDescent="0.25">
      <c r="A13" s="73">
        <v>12</v>
      </c>
      <c r="B13" s="65" t="s">
        <v>15</v>
      </c>
      <c r="C13" s="73">
        <f>IFERROR(VLOOKUP(B13,UNIDADES!$A:$F,2,FALSE)," ")</f>
        <v>38</v>
      </c>
      <c r="D13" s="73" t="str">
        <f>IFERROR(VLOOKUP(B13,UNIDADES!$A:$F,4,FALSE)," ")</f>
        <v>REGIÓN 1</v>
      </c>
      <c r="E13" s="73" t="str">
        <f>IFERROR(VLOOKUP(B13,UNIDADES!$A:$F,5,FALSE)," ")</f>
        <v>DEPARTAMENTO DE POLICÍA SAN ANDRÉS Y PROVIDENCIA</v>
      </c>
      <c r="F13" s="73" t="str">
        <f>IFERROR(VLOOKUP(B13,UNIDADES!$A:$F,6,FALSE)," ")</f>
        <v>800141053-7</v>
      </c>
      <c r="G13" s="56" t="s">
        <v>15</v>
      </c>
      <c r="H13" s="56" t="s">
        <v>372</v>
      </c>
      <c r="I13" s="57" t="s">
        <v>402</v>
      </c>
      <c r="J13" s="58">
        <v>575000000</v>
      </c>
      <c r="K13" s="58"/>
      <c r="L13" s="67">
        <f t="shared" si="0"/>
        <v>575000000</v>
      </c>
      <c r="M13" s="70"/>
      <c r="N13" s="67">
        <f t="shared" si="1"/>
        <v>575000000</v>
      </c>
      <c r="O13" s="60">
        <v>0</v>
      </c>
      <c r="P13" s="59">
        <v>43177</v>
      </c>
      <c r="Q13" s="59">
        <v>43177</v>
      </c>
      <c r="R13" s="58">
        <v>575000000</v>
      </c>
      <c r="S13" s="56" t="s">
        <v>418</v>
      </c>
      <c r="T13" s="65" t="s">
        <v>119</v>
      </c>
      <c r="U13" s="56" t="s">
        <v>426</v>
      </c>
      <c r="V13" s="65" t="s">
        <v>358</v>
      </c>
      <c r="W13" s="62">
        <v>43177</v>
      </c>
      <c r="X13" s="61">
        <v>43181</v>
      </c>
      <c r="Y13" s="61">
        <v>43238</v>
      </c>
      <c r="Z13" s="56" t="s">
        <v>360</v>
      </c>
      <c r="AA13" s="68" t="str">
        <f t="shared" si="2"/>
        <v>CUMPLIÓ</v>
      </c>
      <c r="AB13" s="71">
        <f t="shared" si="3"/>
        <v>0</v>
      </c>
      <c r="AC13" s="56" t="s">
        <v>474</v>
      </c>
      <c r="AD13" s="77" t="s">
        <v>475</v>
      </c>
      <c r="AE13" s="62">
        <v>43238</v>
      </c>
      <c r="AF13" s="57" t="s">
        <v>531</v>
      </c>
      <c r="AG13" s="56" t="s">
        <v>476</v>
      </c>
      <c r="AH13" s="56" t="s">
        <v>477</v>
      </c>
      <c r="AI13" s="56" t="s">
        <v>478</v>
      </c>
      <c r="AJ13" s="78" t="s">
        <v>479</v>
      </c>
      <c r="AK13" s="58">
        <v>575000000</v>
      </c>
      <c r="AL13" s="60"/>
      <c r="AM13" s="67">
        <f t="shared" si="4"/>
        <v>575000000</v>
      </c>
      <c r="AN13" s="58">
        <v>575000000</v>
      </c>
      <c r="AO13" s="58">
        <v>575000000</v>
      </c>
      <c r="AP13" s="61">
        <v>43238</v>
      </c>
      <c r="AQ13" s="61">
        <v>43465</v>
      </c>
      <c r="AR13" s="65" t="s">
        <v>226</v>
      </c>
      <c r="AS13" s="70">
        <f>222951390+191499098+13784896+101222263+90542353</f>
        <v>620000000</v>
      </c>
      <c r="AT13" s="66">
        <f>+AM13-AS13+45000000</f>
        <v>0</v>
      </c>
      <c r="AU13" s="65" t="s">
        <v>153</v>
      </c>
    </row>
    <row r="14" spans="1:47" s="14" customFormat="1" ht="126.75" customHeight="1" x14ac:dyDescent="0.25">
      <c r="A14" s="73">
        <v>13</v>
      </c>
      <c r="B14" s="65" t="s">
        <v>15</v>
      </c>
      <c r="C14" s="73">
        <f>IFERROR(VLOOKUP(B14,UNIDADES!$A:$F,2,FALSE)," ")</f>
        <v>38</v>
      </c>
      <c r="D14" s="73" t="str">
        <f>IFERROR(VLOOKUP(B14,UNIDADES!$A:$F,4,FALSE)," ")</f>
        <v>REGIÓN 1</v>
      </c>
      <c r="E14" s="73" t="str">
        <f>IFERROR(VLOOKUP(B14,UNIDADES!$A:$F,5,FALSE)," ")</f>
        <v>DEPARTAMENTO DE POLICÍA SAN ANDRÉS Y PROVIDENCIA</v>
      </c>
      <c r="F14" s="73" t="str">
        <f>IFERROR(VLOOKUP(B14,UNIDADES!$A:$F,6,FALSE)," ")</f>
        <v>800141053-7</v>
      </c>
      <c r="G14" s="56" t="s">
        <v>15</v>
      </c>
      <c r="H14" s="56" t="s">
        <v>372</v>
      </c>
      <c r="I14" s="76" t="s">
        <v>403</v>
      </c>
      <c r="J14" s="58">
        <v>89000000</v>
      </c>
      <c r="K14" s="58"/>
      <c r="L14" s="67">
        <f t="shared" si="0"/>
        <v>89000000</v>
      </c>
      <c r="M14" s="70"/>
      <c r="N14" s="67">
        <f t="shared" si="1"/>
        <v>89000000</v>
      </c>
      <c r="O14" s="60">
        <v>0</v>
      </c>
      <c r="P14" s="59">
        <v>43290</v>
      </c>
      <c r="Q14" s="59">
        <v>43290</v>
      </c>
      <c r="R14" s="58">
        <v>89000000</v>
      </c>
      <c r="S14" s="56" t="s">
        <v>382</v>
      </c>
      <c r="T14" s="65" t="s">
        <v>246</v>
      </c>
      <c r="U14" s="56" t="s">
        <v>427</v>
      </c>
      <c r="V14" s="65" t="s">
        <v>362</v>
      </c>
      <c r="W14" s="59">
        <v>43290</v>
      </c>
      <c r="X14" s="59">
        <v>43290</v>
      </c>
      <c r="Y14" s="61">
        <v>43298</v>
      </c>
      <c r="Z14" s="56" t="s">
        <v>362</v>
      </c>
      <c r="AA14" s="68" t="str">
        <f t="shared" si="2"/>
        <v>CUMPLIÓ</v>
      </c>
      <c r="AB14" s="71">
        <f t="shared" si="3"/>
        <v>0</v>
      </c>
      <c r="AC14" s="56" t="s">
        <v>483</v>
      </c>
      <c r="AD14" s="77"/>
      <c r="AE14" s="62">
        <v>43297</v>
      </c>
      <c r="AF14" s="76" t="s">
        <v>403</v>
      </c>
      <c r="AG14" s="56" t="s">
        <v>383</v>
      </c>
      <c r="AH14" s="69" t="s">
        <v>384</v>
      </c>
      <c r="AI14" s="56" t="s">
        <v>354</v>
      </c>
      <c r="AJ14" s="56" t="s">
        <v>385</v>
      </c>
      <c r="AK14" s="58">
        <v>89000000</v>
      </c>
      <c r="AL14" s="60"/>
      <c r="AM14" s="67">
        <f t="shared" si="4"/>
        <v>89000000</v>
      </c>
      <c r="AN14" s="58">
        <v>89000000</v>
      </c>
      <c r="AO14" s="58">
        <v>89000000</v>
      </c>
      <c r="AP14" s="61">
        <v>43298</v>
      </c>
      <c r="AQ14" s="61">
        <v>43358</v>
      </c>
      <c r="AR14" s="65" t="s">
        <v>226</v>
      </c>
      <c r="AS14" s="70">
        <f>44500000+44500000</f>
        <v>89000000</v>
      </c>
      <c r="AT14" s="66">
        <f t="shared" si="6"/>
        <v>0</v>
      </c>
      <c r="AU14" s="65" t="s">
        <v>153</v>
      </c>
    </row>
    <row r="15" spans="1:47" s="14" customFormat="1" ht="60" x14ac:dyDescent="0.25">
      <c r="A15" s="73">
        <v>14</v>
      </c>
      <c r="B15" s="65" t="s">
        <v>15</v>
      </c>
      <c r="C15" s="73">
        <f>IFERROR(VLOOKUP(B15,UNIDADES!$A:$F,2,FALSE)," ")</f>
        <v>38</v>
      </c>
      <c r="D15" s="73" t="str">
        <f>IFERROR(VLOOKUP(B15,UNIDADES!$A:$F,4,FALSE)," ")</f>
        <v>REGIÓN 1</v>
      </c>
      <c r="E15" s="73" t="str">
        <f>IFERROR(VLOOKUP(B15,UNIDADES!$A:$F,5,FALSE)," ")</f>
        <v>DEPARTAMENTO DE POLICÍA SAN ANDRÉS Y PROVIDENCIA</v>
      </c>
      <c r="F15" s="73" t="str">
        <f>IFERROR(VLOOKUP(B15,UNIDADES!$A:$F,6,FALSE)," ")</f>
        <v>800141053-7</v>
      </c>
      <c r="G15" s="56" t="s">
        <v>15</v>
      </c>
      <c r="H15" s="56" t="s">
        <v>372</v>
      </c>
      <c r="I15" s="74" t="s">
        <v>386</v>
      </c>
      <c r="J15" s="58">
        <v>64000000</v>
      </c>
      <c r="K15" s="58"/>
      <c r="L15" s="67">
        <f t="shared" si="0"/>
        <v>64000000</v>
      </c>
      <c r="M15" s="70"/>
      <c r="N15" s="67">
        <f t="shared" si="1"/>
        <v>64000000</v>
      </c>
      <c r="O15" s="60"/>
      <c r="P15" s="59">
        <v>43290</v>
      </c>
      <c r="Q15" s="59">
        <v>43290</v>
      </c>
      <c r="R15" s="58">
        <v>64000000</v>
      </c>
      <c r="S15" s="56" t="s">
        <v>382</v>
      </c>
      <c r="T15" s="65" t="s">
        <v>246</v>
      </c>
      <c r="U15" s="56" t="s">
        <v>428</v>
      </c>
      <c r="V15" s="65" t="s">
        <v>362</v>
      </c>
      <c r="W15" s="59">
        <v>43290</v>
      </c>
      <c r="X15" s="59">
        <v>43290</v>
      </c>
      <c r="Y15" s="61">
        <v>43298</v>
      </c>
      <c r="Z15" s="56" t="s">
        <v>362</v>
      </c>
      <c r="AA15" s="68" t="str">
        <f t="shared" si="2"/>
        <v>CUMPLIÓ</v>
      </c>
      <c r="AB15" s="71">
        <f t="shared" si="3"/>
        <v>0</v>
      </c>
      <c r="AC15" s="56" t="s">
        <v>484</v>
      </c>
      <c r="AD15" s="77"/>
      <c r="AE15" s="62">
        <v>43297</v>
      </c>
      <c r="AF15" s="57" t="s">
        <v>386</v>
      </c>
      <c r="AG15" s="56">
        <v>19071686</v>
      </c>
      <c r="AH15" s="56" t="s">
        <v>387</v>
      </c>
      <c r="AI15" s="56" t="s">
        <v>354</v>
      </c>
      <c r="AJ15" s="56" t="s">
        <v>387</v>
      </c>
      <c r="AK15" s="58">
        <v>64000000</v>
      </c>
      <c r="AL15" s="60"/>
      <c r="AM15" s="67">
        <f t="shared" si="4"/>
        <v>64000000</v>
      </c>
      <c r="AN15" s="58">
        <v>64000000</v>
      </c>
      <c r="AO15" s="58">
        <v>64000000</v>
      </c>
      <c r="AP15" s="61">
        <v>43298</v>
      </c>
      <c r="AQ15" s="61">
        <v>43358</v>
      </c>
      <c r="AR15" s="65" t="s">
        <v>226</v>
      </c>
      <c r="AS15" s="70">
        <f>32000000+32000000</f>
        <v>64000000</v>
      </c>
      <c r="AT15" s="66">
        <f t="shared" si="6"/>
        <v>0</v>
      </c>
      <c r="AU15" s="65" t="s">
        <v>153</v>
      </c>
    </row>
    <row r="16" spans="1:47" s="14" customFormat="1" ht="105" x14ac:dyDescent="0.25">
      <c r="A16" s="73">
        <v>15</v>
      </c>
      <c r="B16" s="65" t="s">
        <v>15</v>
      </c>
      <c r="C16" s="73">
        <f>IFERROR(VLOOKUP(B16,UNIDADES!$A:$F,2,FALSE)," ")</f>
        <v>38</v>
      </c>
      <c r="D16" s="73" t="str">
        <f>IFERROR(VLOOKUP(B16,UNIDADES!$A:$F,4,FALSE)," ")</f>
        <v>REGIÓN 1</v>
      </c>
      <c r="E16" s="73" t="str">
        <f>IFERROR(VLOOKUP(B16,UNIDADES!$A:$F,5,FALSE)," ")</f>
        <v>DEPARTAMENTO DE POLICÍA SAN ANDRÉS Y PROVIDENCIA</v>
      </c>
      <c r="F16" s="73" t="str">
        <f>IFERROR(VLOOKUP(B16,UNIDADES!$A:$F,6,FALSE)," ")</f>
        <v>800141053-7</v>
      </c>
      <c r="G16" s="56" t="s">
        <v>15</v>
      </c>
      <c r="H16" s="56" t="s">
        <v>372</v>
      </c>
      <c r="I16" s="76" t="s">
        <v>404</v>
      </c>
      <c r="J16" s="58">
        <v>111250000</v>
      </c>
      <c r="K16" s="58"/>
      <c r="L16" s="67">
        <f t="shared" si="0"/>
        <v>111250000</v>
      </c>
      <c r="M16" s="70"/>
      <c r="N16" s="67">
        <f t="shared" si="1"/>
        <v>111250000</v>
      </c>
      <c r="O16" s="60"/>
      <c r="P16" s="59">
        <v>43357</v>
      </c>
      <c r="Q16" s="59">
        <v>43367</v>
      </c>
      <c r="R16" s="58">
        <v>111250000</v>
      </c>
      <c r="S16" s="56" t="s">
        <v>382</v>
      </c>
      <c r="T16" s="65" t="s">
        <v>246</v>
      </c>
      <c r="U16" s="56" t="s">
        <v>429</v>
      </c>
      <c r="V16" s="65" t="s">
        <v>364</v>
      </c>
      <c r="W16" s="59">
        <v>43357</v>
      </c>
      <c r="X16" s="59">
        <v>43357</v>
      </c>
      <c r="Y16" s="61">
        <v>43377</v>
      </c>
      <c r="Z16" s="19"/>
      <c r="AA16" s="68" t="str">
        <f t="shared" si="2"/>
        <v>CUMPLIÓ</v>
      </c>
      <c r="AB16" s="71">
        <f t="shared" si="3"/>
        <v>0</v>
      </c>
      <c r="AC16" s="56" t="s">
        <v>485</v>
      </c>
      <c r="AD16" s="77"/>
      <c r="AE16" s="62">
        <v>43377</v>
      </c>
      <c r="AF16" s="76" t="s">
        <v>404</v>
      </c>
      <c r="AG16" s="56" t="s">
        <v>486</v>
      </c>
      <c r="AH16" s="69" t="s">
        <v>384</v>
      </c>
      <c r="AI16" s="56" t="s">
        <v>354</v>
      </c>
      <c r="AJ16" s="56" t="s">
        <v>385</v>
      </c>
      <c r="AK16" s="58">
        <v>111250000</v>
      </c>
      <c r="AL16" s="60"/>
      <c r="AM16" s="67">
        <f t="shared" si="4"/>
        <v>111250000</v>
      </c>
      <c r="AN16" s="58">
        <v>111250000</v>
      </c>
      <c r="AO16" s="58">
        <v>111250000</v>
      </c>
      <c r="AP16" s="61">
        <v>43377</v>
      </c>
      <c r="AQ16" s="61">
        <v>43452</v>
      </c>
      <c r="AR16" s="65" t="s">
        <v>226</v>
      </c>
      <c r="AS16" s="70">
        <f>44500000+44500000+22250000</f>
        <v>111250000</v>
      </c>
      <c r="AT16" s="66">
        <f t="shared" si="6"/>
        <v>0</v>
      </c>
      <c r="AU16" s="65" t="s">
        <v>153</v>
      </c>
    </row>
    <row r="17" spans="1:93" s="14" customFormat="1" ht="45" x14ac:dyDescent="0.25">
      <c r="A17" s="73">
        <v>16</v>
      </c>
      <c r="B17" s="65" t="s">
        <v>15</v>
      </c>
      <c r="C17" s="73">
        <f>IFERROR(VLOOKUP(B17,UNIDADES!$A:$F,2,FALSE)," ")</f>
        <v>38</v>
      </c>
      <c r="D17" s="73" t="str">
        <f>IFERROR(VLOOKUP(B17,UNIDADES!$A:$F,4,FALSE)," ")</f>
        <v>REGIÓN 1</v>
      </c>
      <c r="E17" s="73" t="str">
        <f>IFERROR(VLOOKUP(B17,UNIDADES!$A:$F,5,FALSE)," ")</f>
        <v>DEPARTAMENTO DE POLICÍA SAN ANDRÉS Y PROVIDENCIA</v>
      </c>
      <c r="F17" s="73" t="str">
        <f>IFERROR(VLOOKUP(B17,UNIDADES!$A:$F,6,FALSE)," ")</f>
        <v>800141053-7</v>
      </c>
      <c r="G17" s="56" t="s">
        <v>15</v>
      </c>
      <c r="H17" s="56" t="s">
        <v>372</v>
      </c>
      <c r="I17" s="75" t="s">
        <v>405</v>
      </c>
      <c r="J17" s="58">
        <v>80000000</v>
      </c>
      <c r="K17" s="58"/>
      <c r="L17" s="67">
        <f t="shared" si="0"/>
        <v>80000000</v>
      </c>
      <c r="M17" s="70"/>
      <c r="N17" s="67">
        <f t="shared" si="1"/>
        <v>80000000</v>
      </c>
      <c r="O17" s="60"/>
      <c r="P17" s="59">
        <v>43357</v>
      </c>
      <c r="Q17" s="59">
        <v>43365</v>
      </c>
      <c r="R17" s="58">
        <v>80000000</v>
      </c>
      <c r="S17" s="56" t="s">
        <v>382</v>
      </c>
      <c r="T17" s="65" t="s">
        <v>246</v>
      </c>
      <c r="U17" s="56" t="s">
        <v>430</v>
      </c>
      <c r="V17" s="65" t="s">
        <v>364</v>
      </c>
      <c r="W17" s="59">
        <v>43357</v>
      </c>
      <c r="X17" s="59">
        <v>43357</v>
      </c>
      <c r="Y17" s="61">
        <v>43377</v>
      </c>
      <c r="Z17" s="56" t="s">
        <v>365</v>
      </c>
      <c r="AA17" s="68" t="str">
        <f t="shared" si="2"/>
        <v>CUMPLIÓ</v>
      </c>
      <c r="AB17" s="71">
        <f t="shared" si="3"/>
        <v>0</v>
      </c>
      <c r="AC17" s="56" t="s">
        <v>487</v>
      </c>
      <c r="AD17" s="77"/>
      <c r="AE17" s="62">
        <v>43377</v>
      </c>
      <c r="AF17" s="76" t="s">
        <v>405</v>
      </c>
      <c r="AG17" s="56">
        <v>19071686</v>
      </c>
      <c r="AH17" s="56" t="s">
        <v>387</v>
      </c>
      <c r="AI17" s="56" t="s">
        <v>354</v>
      </c>
      <c r="AJ17" s="56" t="s">
        <v>387</v>
      </c>
      <c r="AK17" s="58">
        <v>80000000</v>
      </c>
      <c r="AL17" s="60"/>
      <c r="AM17" s="67">
        <f t="shared" si="4"/>
        <v>80000000</v>
      </c>
      <c r="AN17" s="58">
        <v>80000000</v>
      </c>
      <c r="AO17" s="58">
        <v>80000000</v>
      </c>
      <c r="AP17" s="61">
        <v>43377</v>
      </c>
      <c r="AQ17" s="61">
        <v>43452</v>
      </c>
      <c r="AR17" s="65" t="s">
        <v>226</v>
      </c>
      <c r="AS17" s="70">
        <f>32000000+32000000+16000000</f>
        <v>80000000</v>
      </c>
      <c r="AT17" s="66">
        <f t="shared" si="6"/>
        <v>0</v>
      </c>
      <c r="AU17" s="65" t="s">
        <v>153</v>
      </c>
    </row>
    <row r="18" spans="1:93" s="14" customFormat="1" ht="105" customHeight="1" x14ac:dyDescent="0.25">
      <c r="A18" s="73">
        <v>17</v>
      </c>
      <c r="B18" s="65" t="s">
        <v>15</v>
      </c>
      <c r="C18" s="73">
        <f>IFERROR(VLOOKUP(B18,UNIDADES!$A:$F,2,FALSE)," ")</f>
        <v>38</v>
      </c>
      <c r="D18" s="73" t="str">
        <f>IFERROR(VLOOKUP(B18,UNIDADES!$A:$F,4,FALSE)," ")</f>
        <v>REGIÓN 1</v>
      </c>
      <c r="E18" s="73" t="str">
        <f>IFERROR(VLOOKUP(B18,UNIDADES!$A:$F,5,FALSE)," ")</f>
        <v>DEPARTAMENTO DE POLICÍA SAN ANDRÉS Y PROVIDENCIA</v>
      </c>
      <c r="F18" s="73" t="str">
        <f>IFERROR(VLOOKUP(B18,UNIDADES!$A:$F,6,FALSE)," ")</f>
        <v>800141053-7</v>
      </c>
      <c r="G18" s="56" t="s">
        <v>15</v>
      </c>
      <c r="H18" s="56" t="s">
        <v>372</v>
      </c>
      <c r="I18" s="76" t="s">
        <v>406</v>
      </c>
      <c r="J18" s="58">
        <v>63980000</v>
      </c>
      <c r="K18" s="58"/>
      <c r="L18" s="67">
        <f t="shared" si="0"/>
        <v>63980000</v>
      </c>
      <c r="M18" s="70"/>
      <c r="N18" s="67">
        <f t="shared" si="1"/>
        <v>63980000</v>
      </c>
      <c r="O18" s="60"/>
      <c r="P18" s="59">
        <v>43349</v>
      </c>
      <c r="Q18" s="59">
        <v>43355</v>
      </c>
      <c r="R18" s="58">
        <v>63980000</v>
      </c>
      <c r="S18" s="56" t="s">
        <v>382</v>
      </c>
      <c r="T18" s="65" t="s">
        <v>143</v>
      </c>
      <c r="U18" s="56" t="s">
        <v>431</v>
      </c>
      <c r="V18" s="65" t="s">
        <v>364</v>
      </c>
      <c r="W18" s="59">
        <v>43349</v>
      </c>
      <c r="X18" s="59">
        <v>43349</v>
      </c>
      <c r="Y18" s="61">
        <v>43389</v>
      </c>
      <c r="Z18" s="56" t="s">
        <v>365</v>
      </c>
      <c r="AA18" s="68" t="str">
        <f t="shared" si="2"/>
        <v>CUMPLIÓ</v>
      </c>
      <c r="AB18" s="71">
        <f t="shared" si="3"/>
        <v>0</v>
      </c>
      <c r="AC18" s="56" t="s">
        <v>488</v>
      </c>
      <c r="AD18" s="77"/>
      <c r="AE18" s="61">
        <v>43389</v>
      </c>
      <c r="AF18" s="76" t="s">
        <v>406</v>
      </c>
      <c r="AG18" s="56" t="s">
        <v>457</v>
      </c>
      <c r="AH18" s="56" t="s">
        <v>489</v>
      </c>
      <c r="AI18" s="56" t="s">
        <v>354</v>
      </c>
      <c r="AJ18" s="56" t="s">
        <v>490</v>
      </c>
      <c r="AK18" s="58">
        <v>63980000</v>
      </c>
      <c r="AL18" s="60"/>
      <c r="AM18" s="67">
        <f t="shared" si="4"/>
        <v>63980000</v>
      </c>
      <c r="AN18" s="58">
        <v>63980000</v>
      </c>
      <c r="AO18" s="58">
        <v>63980000</v>
      </c>
      <c r="AP18" s="61">
        <v>43389</v>
      </c>
      <c r="AQ18" s="61">
        <v>43459</v>
      </c>
      <c r="AR18" s="65" t="s">
        <v>226</v>
      </c>
      <c r="AS18" s="70">
        <f>63940000+15040000</f>
        <v>78980000</v>
      </c>
      <c r="AT18" s="66">
        <f>+AM18-AS18+15000000</f>
        <v>0</v>
      </c>
      <c r="AU18" s="65" t="s">
        <v>153</v>
      </c>
    </row>
    <row r="19" spans="1:93" s="14" customFormat="1" ht="102.75" customHeight="1" x14ac:dyDescent="0.25">
      <c r="A19" s="73">
        <v>18</v>
      </c>
      <c r="B19" s="65" t="s">
        <v>15</v>
      </c>
      <c r="C19" s="73">
        <f>IFERROR(VLOOKUP(B19,UNIDADES!$A:$F,2,FALSE)," ")</f>
        <v>38</v>
      </c>
      <c r="D19" s="73" t="str">
        <f>IFERROR(VLOOKUP(B19,UNIDADES!$A:$F,4,FALSE)," ")</f>
        <v>REGIÓN 1</v>
      </c>
      <c r="E19" s="73" t="str">
        <f>IFERROR(VLOOKUP(B19,UNIDADES!$A:$F,5,FALSE)," ")</f>
        <v>DEPARTAMENTO DE POLICÍA SAN ANDRÉS Y PROVIDENCIA</v>
      </c>
      <c r="F19" s="73" t="str">
        <f>IFERROR(VLOOKUP(B19,UNIDADES!$A:$F,6,FALSE)," ")</f>
        <v>800141053-7</v>
      </c>
      <c r="G19" s="56" t="s">
        <v>15</v>
      </c>
      <c r="H19" s="56" t="s">
        <v>372</v>
      </c>
      <c r="I19" s="76" t="s">
        <v>407</v>
      </c>
      <c r="J19" s="58">
        <v>28483506.98</v>
      </c>
      <c r="K19" s="58"/>
      <c r="L19" s="67">
        <f t="shared" si="0"/>
        <v>28483506.98</v>
      </c>
      <c r="M19" s="70"/>
      <c r="N19" s="67">
        <f t="shared" si="1"/>
        <v>28483506.98</v>
      </c>
      <c r="O19" s="60"/>
      <c r="P19" s="59">
        <v>43013</v>
      </c>
      <c r="Q19" s="59">
        <v>42985</v>
      </c>
      <c r="R19" s="58">
        <v>28474896</v>
      </c>
      <c r="S19" s="56" t="s">
        <v>21</v>
      </c>
      <c r="T19" s="65" t="s">
        <v>143</v>
      </c>
      <c r="U19" s="56" t="s">
        <v>432</v>
      </c>
      <c r="V19" s="65" t="s">
        <v>365</v>
      </c>
      <c r="W19" s="59">
        <v>43013</v>
      </c>
      <c r="X19" s="59">
        <v>43040</v>
      </c>
      <c r="Y19" s="61">
        <v>43063</v>
      </c>
      <c r="Z19" s="56" t="s">
        <v>366</v>
      </c>
      <c r="AA19" s="68" t="str">
        <f t="shared" si="2"/>
        <v>CUMPLIÓ</v>
      </c>
      <c r="AB19" s="71">
        <f t="shared" si="3"/>
        <v>8610.980000000447</v>
      </c>
      <c r="AC19" s="56" t="s">
        <v>491</v>
      </c>
      <c r="AD19" s="77"/>
      <c r="AE19" s="62">
        <v>43063</v>
      </c>
      <c r="AF19" s="75" t="s">
        <v>407</v>
      </c>
      <c r="AG19" s="56" t="s">
        <v>492</v>
      </c>
      <c r="AH19" s="56" t="s">
        <v>493</v>
      </c>
      <c r="AI19" s="56" t="s">
        <v>354</v>
      </c>
      <c r="AJ19" s="56" t="s">
        <v>494</v>
      </c>
      <c r="AK19" s="58">
        <v>28474896</v>
      </c>
      <c r="AL19" s="60"/>
      <c r="AM19" s="67">
        <f t="shared" si="4"/>
        <v>28474896</v>
      </c>
      <c r="AN19" s="58">
        <v>28474896</v>
      </c>
      <c r="AO19" s="58">
        <v>28474896</v>
      </c>
      <c r="AP19" s="61">
        <v>43063</v>
      </c>
      <c r="AQ19" s="61">
        <v>43434</v>
      </c>
      <c r="AR19" s="65" t="s">
        <v>226</v>
      </c>
      <c r="AS19" s="70">
        <f>12463264+3970088+4039544+4453632+1878000+888000+752456+11019456</f>
        <v>39464440</v>
      </c>
      <c r="AT19" s="66">
        <f>+AM19-AS19+10989544</f>
        <v>0</v>
      </c>
      <c r="AU19" s="65" t="s">
        <v>153</v>
      </c>
    </row>
    <row r="20" spans="1:93" s="14" customFormat="1" ht="135" customHeight="1" x14ac:dyDescent="0.25">
      <c r="A20" s="73">
        <v>19</v>
      </c>
      <c r="B20" s="65" t="s">
        <v>15</v>
      </c>
      <c r="C20" s="73">
        <f>IFERROR(VLOOKUP(B20,UNIDADES!$A:$F,2,FALSE)," ")</f>
        <v>38</v>
      </c>
      <c r="D20" s="73" t="str">
        <f>IFERROR(VLOOKUP(B20,UNIDADES!$A:$F,4,FALSE)," ")</f>
        <v>REGIÓN 1</v>
      </c>
      <c r="E20" s="73" t="str">
        <f>IFERROR(VLOOKUP(B20,UNIDADES!$A:$F,5,FALSE)," ")</f>
        <v>DEPARTAMENTO DE POLICÍA SAN ANDRÉS Y PROVIDENCIA</v>
      </c>
      <c r="F20" s="73" t="str">
        <f>IFERROR(VLOOKUP(B20,UNIDADES!$A:$F,6,FALSE)," ")</f>
        <v>800141053-7</v>
      </c>
      <c r="G20" s="56" t="s">
        <v>15</v>
      </c>
      <c r="H20" s="56" t="s">
        <v>372</v>
      </c>
      <c r="I20" s="76" t="s">
        <v>408</v>
      </c>
      <c r="J20" s="58">
        <v>37200000</v>
      </c>
      <c r="K20" s="58"/>
      <c r="L20" s="67">
        <f t="shared" si="0"/>
        <v>37200000</v>
      </c>
      <c r="M20" s="70"/>
      <c r="N20" s="67">
        <f t="shared" si="1"/>
        <v>37200000</v>
      </c>
      <c r="O20" s="60"/>
      <c r="P20" s="59">
        <v>43391</v>
      </c>
      <c r="Q20" s="59">
        <v>43392</v>
      </c>
      <c r="R20" s="58">
        <v>37200000</v>
      </c>
      <c r="S20" s="56" t="s">
        <v>374</v>
      </c>
      <c r="T20" s="65" t="s">
        <v>143</v>
      </c>
      <c r="U20" s="56" t="s">
        <v>433</v>
      </c>
      <c r="V20" s="65" t="s">
        <v>366</v>
      </c>
      <c r="W20" s="59">
        <v>43391</v>
      </c>
      <c r="X20" s="59">
        <v>43392</v>
      </c>
      <c r="Y20" s="61">
        <v>43405</v>
      </c>
      <c r="Z20" s="56" t="s">
        <v>366</v>
      </c>
      <c r="AA20" s="68" t="str">
        <f t="shared" si="2"/>
        <v>CUMPLIÓ</v>
      </c>
      <c r="AB20" s="71">
        <f t="shared" si="3"/>
        <v>0</v>
      </c>
      <c r="AC20" s="56" t="s">
        <v>495</v>
      </c>
      <c r="AD20" s="77"/>
      <c r="AE20" s="62">
        <v>43403</v>
      </c>
      <c r="AF20" s="76" t="s">
        <v>408</v>
      </c>
      <c r="AG20" s="56" t="s">
        <v>379</v>
      </c>
      <c r="AH20" s="56" t="s">
        <v>496</v>
      </c>
      <c r="AI20" s="56" t="s">
        <v>354</v>
      </c>
      <c r="AJ20" s="56" t="s">
        <v>381</v>
      </c>
      <c r="AK20" s="58">
        <v>37200000</v>
      </c>
      <c r="AL20" s="60"/>
      <c r="AM20" s="67">
        <f t="shared" si="4"/>
        <v>37200000</v>
      </c>
      <c r="AN20" s="58">
        <v>37200000</v>
      </c>
      <c r="AO20" s="58">
        <v>37200000</v>
      </c>
      <c r="AQ20" s="61">
        <v>43447</v>
      </c>
      <c r="AR20" s="65" t="s">
        <v>226</v>
      </c>
      <c r="AS20" s="70">
        <f>27733246.27+763770+436230+8266753.73</f>
        <v>37200000</v>
      </c>
      <c r="AT20" s="66">
        <f t="shared" si="6"/>
        <v>0</v>
      </c>
      <c r="AU20" s="65" t="s">
        <v>153</v>
      </c>
    </row>
    <row r="21" spans="1:93" s="14" customFormat="1" ht="142.5" customHeight="1" x14ac:dyDescent="0.25">
      <c r="A21" s="73">
        <v>20</v>
      </c>
      <c r="B21" s="65" t="s">
        <v>15</v>
      </c>
      <c r="C21" s="73">
        <f>IFERROR(VLOOKUP(B21,UNIDADES!$A:$F,2,FALSE)," ")</f>
        <v>38</v>
      </c>
      <c r="D21" s="73" t="str">
        <f>IFERROR(VLOOKUP(B21,UNIDADES!$A:$F,4,FALSE)," ")</f>
        <v>REGIÓN 1</v>
      </c>
      <c r="E21" s="73" t="str">
        <f>IFERROR(VLOOKUP(B21,UNIDADES!$A:$F,5,FALSE)," ")</f>
        <v>DEPARTAMENTO DE POLICÍA SAN ANDRÉS Y PROVIDENCIA</v>
      </c>
      <c r="F21" s="73" t="str">
        <f>IFERROR(VLOOKUP(B21,UNIDADES!$A:$F,6,FALSE)," ")</f>
        <v>800141053-7</v>
      </c>
      <c r="G21" s="56" t="s">
        <v>15</v>
      </c>
      <c r="H21" s="56" t="s">
        <v>372</v>
      </c>
      <c r="I21" s="76" t="s">
        <v>409</v>
      </c>
      <c r="J21" s="58">
        <v>66400000</v>
      </c>
      <c r="K21" s="58"/>
      <c r="L21" s="67">
        <f t="shared" si="0"/>
        <v>66400000</v>
      </c>
      <c r="M21" s="70"/>
      <c r="N21" s="67">
        <f t="shared" si="1"/>
        <v>66400000</v>
      </c>
      <c r="O21" s="60"/>
      <c r="P21" s="59">
        <v>43374</v>
      </c>
      <c r="Q21" s="59">
        <v>43377</v>
      </c>
      <c r="R21" s="58">
        <v>66400000</v>
      </c>
      <c r="S21" s="56" t="s">
        <v>374</v>
      </c>
      <c r="T21" s="65" t="s">
        <v>143</v>
      </c>
      <c r="U21" s="56" t="s">
        <v>434</v>
      </c>
      <c r="V21" s="65" t="s">
        <v>366</v>
      </c>
      <c r="W21" s="59">
        <v>43374</v>
      </c>
      <c r="X21" s="59">
        <v>43377</v>
      </c>
      <c r="Y21" s="61">
        <v>43405</v>
      </c>
      <c r="Z21" s="56" t="s">
        <v>366</v>
      </c>
      <c r="AA21" s="68" t="str">
        <f t="shared" si="2"/>
        <v>CUMPLIÓ</v>
      </c>
      <c r="AB21" s="71">
        <f t="shared" si="3"/>
        <v>0</v>
      </c>
      <c r="AC21" s="56" t="s">
        <v>497</v>
      </c>
      <c r="AD21" s="77"/>
      <c r="AE21" s="62">
        <v>43404</v>
      </c>
      <c r="AF21" s="76" t="s">
        <v>409</v>
      </c>
      <c r="AG21" s="56" t="s">
        <v>392</v>
      </c>
      <c r="AH21" s="56" t="s">
        <v>453</v>
      </c>
      <c r="AI21" s="56" t="s">
        <v>354</v>
      </c>
      <c r="AJ21" s="56" t="s">
        <v>394</v>
      </c>
      <c r="AK21" s="58">
        <v>66400000</v>
      </c>
      <c r="AL21" s="60"/>
      <c r="AM21" s="67">
        <f t="shared" si="4"/>
        <v>66400000</v>
      </c>
      <c r="AN21" s="58">
        <v>66400000</v>
      </c>
      <c r="AO21" s="58">
        <v>66400000</v>
      </c>
      <c r="AP21" s="61">
        <v>43405</v>
      </c>
      <c r="AQ21" s="61">
        <v>43434</v>
      </c>
      <c r="AR21" s="65" t="s">
        <v>226</v>
      </c>
      <c r="AS21" s="70">
        <f>60000000+6400000</f>
        <v>66400000</v>
      </c>
      <c r="AT21" s="66">
        <f t="shared" si="6"/>
        <v>0</v>
      </c>
      <c r="AU21" s="65" t="s">
        <v>153</v>
      </c>
    </row>
    <row r="22" spans="1:93" s="14" customFormat="1" ht="60" x14ac:dyDescent="0.25">
      <c r="A22" s="73">
        <v>21</v>
      </c>
      <c r="B22" s="65" t="s">
        <v>15</v>
      </c>
      <c r="C22" s="73">
        <f>IFERROR(VLOOKUP(B22,UNIDADES!$A:$F,2,FALSE)," ")</f>
        <v>38</v>
      </c>
      <c r="D22" s="73" t="str">
        <f>IFERROR(VLOOKUP(B22,UNIDADES!$A:$F,4,FALSE)," ")</f>
        <v>REGIÓN 1</v>
      </c>
      <c r="E22" s="73" t="str">
        <f>IFERROR(VLOOKUP(B22,UNIDADES!$A:$F,5,FALSE)," ")</f>
        <v>DEPARTAMENTO DE POLICÍA SAN ANDRÉS Y PROVIDENCIA</v>
      </c>
      <c r="F22" s="73" t="str">
        <f>IFERROR(VLOOKUP(B22,UNIDADES!$A:$F,6,FALSE)," ")</f>
        <v>800141053-7</v>
      </c>
      <c r="G22" s="56" t="s">
        <v>15</v>
      </c>
      <c r="H22" s="56" t="s">
        <v>372</v>
      </c>
      <c r="I22" s="76" t="s">
        <v>410</v>
      </c>
      <c r="J22" s="58">
        <v>105963620</v>
      </c>
      <c r="K22" s="58"/>
      <c r="L22" s="67">
        <f t="shared" si="0"/>
        <v>105963620</v>
      </c>
      <c r="M22" s="70"/>
      <c r="N22" s="67">
        <f t="shared" si="1"/>
        <v>105963620</v>
      </c>
      <c r="O22" s="60"/>
      <c r="P22" s="59">
        <v>43375</v>
      </c>
      <c r="Q22" s="59">
        <v>43377</v>
      </c>
      <c r="R22" s="58">
        <v>105963620</v>
      </c>
      <c r="S22" s="56" t="s">
        <v>419</v>
      </c>
      <c r="T22" s="65" t="s">
        <v>246</v>
      </c>
      <c r="U22" s="56" t="s">
        <v>435</v>
      </c>
      <c r="V22" s="65" t="s">
        <v>365</v>
      </c>
      <c r="W22" s="59">
        <v>43388</v>
      </c>
      <c r="X22" s="59">
        <v>43390</v>
      </c>
      <c r="Y22" s="61">
        <v>43405</v>
      </c>
      <c r="Z22" s="56" t="s">
        <v>366</v>
      </c>
      <c r="AA22" s="68" t="str">
        <f t="shared" si="2"/>
        <v>CUMPLIÓ</v>
      </c>
      <c r="AB22" s="71">
        <f t="shared" si="3"/>
        <v>0</v>
      </c>
      <c r="AC22" s="56" t="s">
        <v>498</v>
      </c>
      <c r="AD22" s="77"/>
      <c r="AE22" s="62">
        <v>43404</v>
      </c>
      <c r="AF22" s="76" t="s">
        <v>410</v>
      </c>
      <c r="AG22" s="56" t="s">
        <v>480</v>
      </c>
      <c r="AH22" s="56" t="s">
        <v>481</v>
      </c>
      <c r="AI22" s="56" t="s">
        <v>354</v>
      </c>
      <c r="AJ22" s="56" t="s">
        <v>482</v>
      </c>
      <c r="AK22" s="58">
        <v>52981810</v>
      </c>
      <c r="AL22" s="58">
        <v>52981810</v>
      </c>
      <c r="AM22" s="67">
        <f t="shared" si="4"/>
        <v>105963620</v>
      </c>
      <c r="AN22" s="58">
        <v>105963620</v>
      </c>
      <c r="AO22" s="58">
        <v>105963620</v>
      </c>
      <c r="AP22" s="61">
        <v>43405</v>
      </c>
      <c r="AQ22" s="61">
        <v>43524</v>
      </c>
      <c r="AR22" s="65" t="s">
        <v>226</v>
      </c>
      <c r="AS22" s="70">
        <f>26490905+26490905+26490905+26490905</f>
        <v>105963620</v>
      </c>
      <c r="AT22" s="66">
        <f t="shared" si="6"/>
        <v>0</v>
      </c>
      <c r="AU22" s="65" t="s">
        <v>153</v>
      </c>
    </row>
    <row r="23" spans="1:93" s="14" customFormat="1" ht="92.25" customHeight="1" x14ac:dyDescent="0.25">
      <c r="A23" s="73">
        <v>22</v>
      </c>
      <c r="B23" s="65" t="s">
        <v>15</v>
      </c>
      <c r="C23" s="73">
        <f>IFERROR(VLOOKUP(B23,UNIDADES!$A:$F,2,FALSE)," ")</f>
        <v>38</v>
      </c>
      <c r="D23" s="73" t="str">
        <f>IFERROR(VLOOKUP(B23,UNIDADES!$A:$F,4,FALSE)," ")</f>
        <v>REGIÓN 1</v>
      </c>
      <c r="E23" s="73" t="str">
        <f>IFERROR(VLOOKUP(B23,UNIDADES!$A:$F,5,FALSE)," ")</f>
        <v>DEPARTAMENTO DE POLICÍA SAN ANDRÉS Y PROVIDENCIA</v>
      </c>
      <c r="F23" s="73" t="str">
        <f>IFERROR(VLOOKUP(B23,UNIDADES!$A:$F,6,FALSE)," ")</f>
        <v>800141053-7</v>
      </c>
      <c r="G23" s="56" t="s">
        <v>15</v>
      </c>
      <c r="H23" s="56" t="s">
        <v>372</v>
      </c>
      <c r="I23" s="76" t="s">
        <v>411</v>
      </c>
      <c r="J23" s="58">
        <v>2821124</v>
      </c>
      <c r="K23" s="58"/>
      <c r="L23" s="67">
        <f t="shared" si="0"/>
        <v>2821124</v>
      </c>
      <c r="M23" s="70"/>
      <c r="N23" s="67">
        <f t="shared" si="1"/>
        <v>2821124</v>
      </c>
      <c r="O23" s="60"/>
      <c r="P23" s="59">
        <v>43410</v>
      </c>
      <c r="Q23" s="59">
        <v>43413</v>
      </c>
      <c r="R23" s="58">
        <v>2821124</v>
      </c>
      <c r="S23" s="56" t="s">
        <v>420</v>
      </c>
      <c r="T23" s="65" t="s">
        <v>143</v>
      </c>
      <c r="U23" s="56" t="s">
        <v>436</v>
      </c>
      <c r="V23" s="65" t="s">
        <v>366</v>
      </c>
      <c r="W23" s="59">
        <v>43410</v>
      </c>
      <c r="X23" s="59">
        <v>43413</v>
      </c>
      <c r="Y23" s="61">
        <v>43430</v>
      </c>
      <c r="Z23" s="56" t="s">
        <v>366</v>
      </c>
      <c r="AA23" s="68" t="str">
        <f t="shared" si="2"/>
        <v>CUMPLIÓ</v>
      </c>
      <c r="AB23" s="71">
        <f t="shared" si="3"/>
        <v>0</v>
      </c>
      <c r="AC23" s="56" t="s">
        <v>499</v>
      </c>
      <c r="AD23" s="77"/>
      <c r="AE23" s="62">
        <v>43427</v>
      </c>
      <c r="AF23" s="76" t="s">
        <v>411</v>
      </c>
      <c r="AG23" s="56" t="s">
        <v>500</v>
      </c>
      <c r="AH23" s="56" t="s">
        <v>501</v>
      </c>
      <c r="AI23" s="56" t="s">
        <v>354</v>
      </c>
      <c r="AJ23" s="56" t="s">
        <v>502</v>
      </c>
      <c r="AK23" s="58">
        <v>2821124</v>
      </c>
      <c r="AL23" s="60"/>
      <c r="AM23" s="67">
        <f t="shared" si="4"/>
        <v>2821124</v>
      </c>
      <c r="AN23" s="58">
        <v>2821124</v>
      </c>
      <c r="AO23" s="58">
        <v>2821124</v>
      </c>
      <c r="AP23" s="61">
        <v>43430</v>
      </c>
      <c r="AQ23" s="61">
        <v>43444</v>
      </c>
      <c r="AR23" s="65" t="s">
        <v>237</v>
      </c>
      <c r="AS23" s="79">
        <v>2821124</v>
      </c>
      <c r="AT23" s="66">
        <f t="shared" si="6"/>
        <v>0</v>
      </c>
      <c r="AU23" s="65" t="s">
        <v>153</v>
      </c>
    </row>
    <row r="24" spans="1:93" s="102" customFormat="1" ht="117" customHeight="1" x14ac:dyDescent="0.25">
      <c r="A24" s="97">
        <v>23</v>
      </c>
      <c r="B24" s="98" t="s">
        <v>15</v>
      </c>
      <c r="C24" s="97">
        <f>IFERROR(VLOOKUP(B24,UNIDADES!$A:$F,2,FALSE)," ")</f>
        <v>38</v>
      </c>
      <c r="D24" s="97" t="str">
        <f>IFERROR(VLOOKUP(B24,UNIDADES!$A:$F,4,FALSE)," ")</f>
        <v>REGIÓN 1</v>
      </c>
      <c r="E24" s="97" t="str">
        <f>IFERROR(VLOOKUP(B24,UNIDADES!$A:$F,5,FALSE)," ")</f>
        <v>DEPARTAMENTO DE POLICÍA SAN ANDRÉS Y PROVIDENCIA</v>
      </c>
      <c r="F24" s="97" t="str">
        <f>IFERROR(VLOOKUP(B24,UNIDADES!$A:$F,6,FALSE)," ")</f>
        <v>800141053-7</v>
      </c>
      <c r="G24" s="117" t="s">
        <v>15</v>
      </c>
      <c r="H24" s="117" t="s">
        <v>372</v>
      </c>
      <c r="I24" s="76" t="s">
        <v>408</v>
      </c>
      <c r="J24" s="118">
        <v>396849395</v>
      </c>
      <c r="K24" s="118"/>
      <c r="L24" s="99">
        <f t="shared" si="0"/>
        <v>396849395</v>
      </c>
      <c r="M24" s="110"/>
      <c r="N24" s="99">
        <f t="shared" si="1"/>
        <v>396849395</v>
      </c>
      <c r="O24" s="119"/>
      <c r="P24" s="120">
        <v>43397</v>
      </c>
      <c r="Q24" s="120">
        <v>43398</v>
      </c>
      <c r="R24" s="118">
        <v>396849395</v>
      </c>
      <c r="S24" s="117" t="s">
        <v>374</v>
      </c>
      <c r="T24" s="98" t="s">
        <v>119</v>
      </c>
      <c r="U24" s="117" t="s">
        <v>437</v>
      </c>
      <c r="V24" s="98" t="s">
        <v>365</v>
      </c>
      <c r="W24" s="120">
        <v>43428</v>
      </c>
      <c r="X24" s="120">
        <v>43429</v>
      </c>
      <c r="Y24" s="121">
        <v>43446</v>
      </c>
      <c r="Z24" s="117" t="s">
        <v>367</v>
      </c>
      <c r="AA24" s="100" t="str">
        <f t="shared" si="2"/>
        <v>CUMPLIÓ</v>
      </c>
      <c r="AB24" s="71">
        <f t="shared" si="3"/>
        <v>0</v>
      </c>
      <c r="AC24" s="117" t="s">
        <v>503</v>
      </c>
      <c r="AD24" s="117"/>
      <c r="AE24" s="122">
        <v>43444</v>
      </c>
      <c r="AF24" s="76" t="s">
        <v>408</v>
      </c>
      <c r="AG24" s="117" t="s">
        <v>379</v>
      </c>
      <c r="AH24" s="117" t="s">
        <v>504</v>
      </c>
      <c r="AI24" s="117" t="s">
        <v>354</v>
      </c>
      <c r="AJ24" s="117" t="s">
        <v>381</v>
      </c>
      <c r="AK24" s="118">
        <v>37308896</v>
      </c>
      <c r="AL24" s="118">
        <v>359540499</v>
      </c>
      <c r="AM24" s="67">
        <f t="shared" si="4"/>
        <v>396849395</v>
      </c>
      <c r="AN24" s="118">
        <v>396849395</v>
      </c>
      <c r="AO24" s="118">
        <v>396849395</v>
      </c>
      <c r="AP24" s="121">
        <v>43446</v>
      </c>
      <c r="AQ24" s="121">
        <v>43769</v>
      </c>
      <c r="AR24" s="123" t="s">
        <v>226</v>
      </c>
      <c r="AS24" s="110">
        <f>1308896+31000000+770160+38308384.12+636127.28+32133432.36+35580402.17+669609.79+33786243.47+811120+32928213.1+790279.5+35042623.2+685031.75+35967486.32+976352+39127789.54+36338512.44+828436.14+39160295.82</f>
        <v>396849395</v>
      </c>
      <c r="AT24" s="101">
        <f>+AM24-AS24</f>
        <v>0</v>
      </c>
      <c r="AU24" s="123" t="s">
        <v>153</v>
      </c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</row>
    <row r="25" spans="1:93" s="14" customFormat="1" ht="87.75" customHeight="1" x14ac:dyDescent="0.25">
      <c r="A25" s="73">
        <v>24</v>
      </c>
      <c r="B25" s="65" t="s">
        <v>15</v>
      </c>
      <c r="C25" s="73">
        <f>IFERROR(VLOOKUP(B25,UNIDADES!$A:$F,2,FALSE)," ")</f>
        <v>38</v>
      </c>
      <c r="D25" s="73" t="str">
        <f>IFERROR(VLOOKUP(B25,UNIDADES!$A:$F,4,FALSE)," ")</f>
        <v>REGIÓN 1</v>
      </c>
      <c r="E25" s="73" t="str">
        <f>IFERROR(VLOOKUP(B25,UNIDADES!$A:$F,5,FALSE)," ")</f>
        <v>DEPARTAMENTO DE POLICÍA SAN ANDRÉS Y PROVIDENCIA</v>
      </c>
      <c r="F25" s="73" t="str">
        <f>IFERROR(VLOOKUP(B25,UNIDADES!$A:$F,6,FALSE)," ")</f>
        <v>800141053-7</v>
      </c>
      <c r="G25" s="56" t="s">
        <v>15</v>
      </c>
      <c r="H25" s="56" t="s">
        <v>372</v>
      </c>
      <c r="I25" s="76" t="s">
        <v>412</v>
      </c>
      <c r="J25" s="58">
        <v>334768725.80000001</v>
      </c>
      <c r="K25" s="58"/>
      <c r="L25" s="67">
        <v>328621842.10000002</v>
      </c>
      <c r="M25" s="70"/>
      <c r="N25" s="67">
        <f t="shared" si="1"/>
        <v>328621842.10000002</v>
      </c>
      <c r="O25" s="60"/>
      <c r="P25" s="59">
        <v>43419</v>
      </c>
      <c r="Q25" s="59">
        <v>43433</v>
      </c>
      <c r="R25" s="58">
        <v>328621842.10000002</v>
      </c>
      <c r="S25" s="56" t="s">
        <v>382</v>
      </c>
      <c r="T25" s="65" t="s">
        <v>246</v>
      </c>
      <c r="U25" s="56" t="s">
        <v>438</v>
      </c>
      <c r="V25" s="65" t="s">
        <v>366</v>
      </c>
      <c r="W25" s="59">
        <v>43419</v>
      </c>
      <c r="X25" s="59">
        <v>43433</v>
      </c>
      <c r="Y25" s="61">
        <v>43446</v>
      </c>
      <c r="Z25" s="56" t="s">
        <v>367</v>
      </c>
      <c r="AA25" s="68" t="str">
        <f t="shared" si="2"/>
        <v>CUMPLIÓ</v>
      </c>
      <c r="AB25" s="71">
        <f t="shared" si="3"/>
        <v>0</v>
      </c>
      <c r="AC25" s="56" t="s">
        <v>505</v>
      </c>
      <c r="AD25" s="77"/>
      <c r="AE25" s="62">
        <v>43444</v>
      </c>
      <c r="AF25" s="76" t="s">
        <v>412</v>
      </c>
      <c r="AG25" s="56">
        <v>40991861</v>
      </c>
      <c r="AH25" s="56" t="s">
        <v>506</v>
      </c>
      <c r="AI25" s="56" t="s">
        <v>354</v>
      </c>
      <c r="AJ25" s="56" t="s">
        <v>507</v>
      </c>
      <c r="AK25" s="58">
        <v>44919532.100000001</v>
      </c>
      <c r="AL25" s="58">
        <v>283702310</v>
      </c>
      <c r="AM25" s="67">
        <f t="shared" si="4"/>
        <v>328621842.10000002</v>
      </c>
      <c r="AN25" s="58">
        <v>328621842.10000002</v>
      </c>
      <c r="AO25" s="58">
        <v>328621842.10000002</v>
      </c>
      <c r="AP25" s="61">
        <v>43447</v>
      </c>
      <c r="AQ25" s="61">
        <v>43585</v>
      </c>
      <c r="AR25" s="65" t="s">
        <v>226</v>
      </c>
      <c r="AS25" s="92">
        <f>44919532.1+70925577.5+70925577.5+70925577.5+70925577.5</f>
        <v>328621842.10000002</v>
      </c>
      <c r="AT25" s="66">
        <f t="shared" si="6"/>
        <v>0</v>
      </c>
      <c r="AU25" s="65" t="s">
        <v>153</v>
      </c>
    </row>
    <row r="26" spans="1:93" s="14" customFormat="1" ht="79.5" customHeight="1" x14ac:dyDescent="0.25">
      <c r="A26" s="73">
        <v>25</v>
      </c>
      <c r="B26" s="65" t="s">
        <v>15</v>
      </c>
      <c r="C26" s="73">
        <f>IFERROR(VLOOKUP(B26,UNIDADES!$A:$F,2,FALSE)," ")</f>
        <v>38</v>
      </c>
      <c r="D26" s="73" t="str">
        <f>IFERROR(VLOOKUP(B26,UNIDADES!$A:$F,4,FALSE)," ")</f>
        <v>REGIÓN 1</v>
      </c>
      <c r="E26" s="73" t="str">
        <f>IFERROR(VLOOKUP(B26,UNIDADES!$A:$F,5,FALSE)," ")</f>
        <v>DEPARTAMENTO DE POLICÍA SAN ANDRÉS Y PROVIDENCIA</v>
      </c>
      <c r="F26" s="73" t="str">
        <f>IFERROR(VLOOKUP(B26,UNIDADES!$A:$F,6,FALSE)," ")</f>
        <v>800141053-7</v>
      </c>
      <c r="G26" s="56" t="s">
        <v>15</v>
      </c>
      <c r="H26" s="56" t="s">
        <v>372</v>
      </c>
      <c r="I26" s="76" t="s">
        <v>413</v>
      </c>
      <c r="J26" s="58">
        <v>15317014</v>
      </c>
      <c r="K26" s="58"/>
      <c r="L26" s="67">
        <f t="shared" si="0"/>
        <v>15317014</v>
      </c>
      <c r="M26" s="70"/>
      <c r="N26" s="67">
        <f t="shared" si="1"/>
        <v>15317014</v>
      </c>
      <c r="O26" s="60"/>
      <c r="P26" s="59">
        <v>43412</v>
      </c>
      <c r="Q26" s="59">
        <v>43415</v>
      </c>
      <c r="R26" s="58">
        <v>15317014</v>
      </c>
      <c r="S26" s="56" t="s">
        <v>374</v>
      </c>
      <c r="T26" s="65" t="s">
        <v>120</v>
      </c>
      <c r="U26" s="56">
        <v>33333</v>
      </c>
      <c r="V26" s="65" t="s">
        <v>366</v>
      </c>
      <c r="W26" s="59">
        <v>43412</v>
      </c>
      <c r="X26" s="59">
        <v>43415</v>
      </c>
      <c r="Y26" s="61">
        <v>43430</v>
      </c>
      <c r="Z26" s="56" t="s">
        <v>366</v>
      </c>
      <c r="AA26" s="68" t="str">
        <f t="shared" si="2"/>
        <v>CUMPLIÓ</v>
      </c>
      <c r="AB26" s="71">
        <f t="shared" si="3"/>
        <v>871.07000000029802</v>
      </c>
      <c r="AC26" s="56">
        <v>33333</v>
      </c>
      <c r="AD26" s="77"/>
      <c r="AE26" s="62">
        <v>43426</v>
      </c>
      <c r="AF26" s="76" t="s">
        <v>413</v>
      </c>
      <c r="AG26" s="56">
        <v>860002400</v>
      </c>
      <c r="AH26" s="56" t="s">
        <v>508</v>
      </c>
      <c r="AI26" s="56" t="s">
        <v>354</v>
      </c>
      <c r="AJ26" s="56" t="s">
        <v>509</v>
      </c>
      <c r="AK26" s="58">
        <v>15316142.93</v>
      </c>
      <c r="AL26" s="58"/>
      <c r="AM26" s="67">
        <f t="shared" si="4"/>
        <v>15316142.93</v>
      </c>
      <c r="AN26" s="58">
        <v>15317014</v>
      </c>
      <c r="AO26" s="58">
        <v>15317014</v>
      </c>
      <c r="AP26" s="61">
        <v>43426</v>
      </c>
      <c r="AQ26" s="61" t="s">
        <v>517</v>
      </c>
      <c r="AR26" s="65" t="s">
        <v>226</v>
      </c>
      <c r="AS26" s="70">
        <f>15316142.93</f>
        <v>15316142.93</v>
      </c>
      <c r="AT26" s="66">
        <f t="shared" si="6"/>
        <v>0</v>
      </c>
      <c r="AU26" s="65" t="s">
        <v>153</v>
      </c>
    </row>
    <row r="27" spans="1:93" s="14" customFormat="1" ht="45" x14ac:dyDescent="0.25">
      <c r="A27" s="73">
        <v>26</v>
      </c>
      <c r="B27" s="65" t="s">
        <v>15</v>
      </c>
      <c r="C27" s="73">
        <f>IFERROR(VLOOKUP(B27,UNIDADES!$A:$F,2,FALSE)," ")</f>
        <v>38</v>
      </c>
      <c r="D27" s="73" t="str">
        <f>IFERROR(VLOOKUP(B27,UNIDADES!$A:$F,4,FALSE)," ")</f>
        <v>REGIÓN 1</v>
      </c>
      <c r="E27" s="73" t="str">
        <f>IFERROR(VLOOKUP(B27,UNIDADES!$A:$F,5,FALSE)," ")</f>
        <v>DEPARTAMENTO DE POLICÍA SAN ANDRÉS Y PROVIDENCIA</v>
      </c>
      <c r="F27" s="73" t="str">
        <f>IFERROR(VLOOKUP(B27,UNIDADES!$A:$F,6,FALSE)," ")</f>
        <v>800141053-7</v>
      </c>
      <c r="G27" s="56" t="s">
        <v>15</v>
      </c>
      <c r="H27" s="56" t="s">
        <v>372</v>
      </c>
      <c r="I27" s="76" t="s">
        <v>414</v>
      </c>
      <c r="J27" s="58">
        <v>38624000</v>
      </c>
      <c r="K27" s="58"/>
      <c r="L27" s="67">
        <f t="shared" si="0"/>
        <v>38624000</v>
      </c>
      <c r="M27" s="70"/>
      <c r="N27" s="67">
        <f t="shared" si="1"/>
        <v>38624000</v>
      </c>
      <c r="O27" s="60"/>
      <c r="P27" s="59">
        <v>43431</v>
      </c>
      <c r="Q27" s="59">
        <v>43440</v>
      </c>
      <c r="R27" s="58">
        <v>40000000</v>
      </c>
      <c r="S27" s="56" t="s">
        <v>421</v>
      </c>
      <c r="T27" s="65" t="s">
        <v>143</v>
      </c>
      <c r="U27" s="56" t="s">
        <v>439</v>
      </c>
      <c r="V27" s="65" t="s">
        <v>366</v>
      </c>
      <c r="W27" s="59">
        <v>43431</v>
      </c>
      <c r="X27" s="59">
        <v>43440</v>
      </c>
      <c r="Y27" s="61">
        <v>43451</v>
      </c>
      <c r="Z27" s="56" t="s">
        <v>367</v>
      </c>
      <c r="AA27" s="68" t="str">
        <f t="shared" si="2"/>
        <v>CUMPLIÓ</v>
      </c>
      <c r="AB27" s="71">
        <f t="shared" si="3"/>
        <v>0</v>
      </c>
      <c r="AC27" s="56" t="s">
        <v>510</v>
      </c>
      <c r="AD27" s="77"/>
      <c r="AE27" s="62">
        <v>43448</v>
      </c>
      <c r="AF27" s="76" t="s">
        <v>414</v>
      </c>
      <c r="AG27" s="56" t="s">
        <v>511</v>
      </c>
      <c r="AH27" s="56" t="s">
        <v>512</v>
      </c>
      <c r="AI27" s="56" t="s">
        <v>354</v>
      </c>
      <c r="AJ27" s="56" t="s">
        <v>513</v>
      </c>
      <c r="AK27" s="58">
        <v>38624000</v>
      </c>
      <c r="AL27" s="58"/>
      <c r="AM27" s="67">
        <f t="shared" si="4"/>
        <v>38624000</v>
      </c>
      <c r="AN27" s="58">
        <v>38624000</v>
      </c>
      <c r="AO27" s="58">
        <v>38624000</v>
      </c>
      <c r="AP27" s="61">
        <v>43451</v>
      </c>
      <c r="AQ27" s="61">
        <v>43461</v>
      </c>
      <c r="AR27" s="65" t="s">
        <v>237</v>
      </c>
      <c r="AS27" s="79">
        <v>39917000</v>
      </c>
      <c r="AT27" s="66">
        <f>+AM27-AS27+1293000</f>
        <v>0</v>
      </c>
      <c r="AU27" s="65" t="s">
        <v>153</v>
      </c>
    </row>
    <row r="28" spans="1:93" s="14" customFormat="1" ht="102" customHeight="1" x14ac:dyDescent="0.25">
      <c r="A28" s="73">
        <v>27</v>
      </c>
      <c r="B28" s="65" t="s">
        <v>15</v>
      </c>
      <c r="C28" s="73">
        <f>IFERROR(VLOOKUP(B28,UNIDADES!$A:$F,2,FALSE)," ")</f>
        <v>38</v>
      </c>
      <c r="D28" s="73" t="str">
        <f>IFERROR(VLOOKUP(B28,UNIDADES!$A:$F,4,FALSE)," ")</f>
        <v>REGIÓN 1</v>
      </c>
      <c r="E28" s="73" t="str">
        <f>IFERROR(VLOOKUP(B28,UNIDADES!$A:$F,5,FALSE)," ")</f>
        <v>DEPARTAMENTO DE POLICÍA SAN ANDRÉS Y PROVIDENCIA</v>
      </c>
      <c r="F28" s="73" t="str">
        <f>IFERROR(VLOOKUP(B28,UNIDADES!$A:$F,6,FALSE)," ")</f>
        <v>800141053-7</v>
      </c>
      <c r="G28" s="56" t="s">
        <v>15</v>
      </c>
      <c r="H28" s="56" t="s">
        <v>372</v>
      </c>
      <c r="I28" s="76" t="s">
        <v>407</v>
      </c>
      <c r="J28" s="58">
        <v>22463700</v>
      </c>
      <c r="K28" s="58"/>
      <c r="L28" s="67">
        <f t="shared" si="0"/>
        <v>22463700</v>
      </c>
      <c r="M28" s="70"/>
      <c r="N28" s="67">
        <f t="shared" si="1"/>
        <v>22463700</v>
      </c>
      <c r="O28" s="60"/>
      <c r="P28" s="59">
        <v>43435</v>
      </c>
      <c r="Q28" s="59">
        <v>43437</v>
      </c>
      <c r="R28" s="58">
        <v>4963700</v>
      </c>
      <c r="S28" s="56" t="s">
        <v>21</v>
      </c>
      <c r="T28" s="65" t="s">
        <v>143</v>
      </c>
      <c r="U28" s="56" t="s">
        <v>440</v>
      </c>
      <c r="V28" s="65" t="s">
        <v>367</v>
      </c>
      <c r="W28" s="59">
        <v>43435</v>
      </c>
      <c r="X28" s="59">
        <v>43437</v>
      </c>
      <c r="Y28" s="61">
        <v>43452</v>
      </c>
      <c r="Z28" s="56" t="s">
        <v>444</v>
      </c>
      <c r="AA28" s="68" t="str">
        <f t="shared" si="2"/>
        <v>CUMPLIÓ</v>
      </c>
      <c r="AB28" s="71">
        <f t="shared" si="3"/>
        <v>68400</v>
      </c>
      <c r="AC28" s="56" t="s">
        <v>514</v>
      </c>
      <c r="AD28" s="77"/>
      <c r="AE28" s="62">
        <v>43448</v>
      </c>
      <c r="AF28" s="76" t="s">
        <v>407</v>
      </c>
      <c r="AG28" s="56" t="s">
        <v>492</v>
      </c>
      <c r="AH28" s="56" t="s">
        <v>493</v>
      </c>
      <c r="AI28" s="56" t="s">
        <v>354</v>
      </c>
      <c r="AJ28" s="56" t="s">
        <v>515</v>
      </c>
      <c r="AK28" s="58">
        <v>4963700</v>
      </c>
      <c r="AL28" s="58">
        <v>17431600</v>
      </c>
      <c r="AM28" s="67">
        <f t="shared" si="4"/>
        <v>22395300</v>
      </c>
      <c r="AN28" s="58">
        <v>22395300</v>
      </c>
      <c r="AO28" s="58">
        <v>22395300</v>
      </c>
      <c r="AP28" s="61">
        <v>43452</v>
      </c>
      <c r="AQ28" s="61">
        <v>43677</v>
      </c>
      <c r="AR28" s="65" t="s">
        <v>226</v>
      </c>
      <c r="AS28" s="79">
        <f>4963700+2900300+2900300+3188700+2900300+5542000</f>
        <v>22395300</v>
      </c>
      <c r="AT28" s="66">
        <f>+AM28-AS28</f>
        <v>0</v>
      </c>
      <c r="AU28" s="65" t="s">
        <v>153</v>
      </c>
    </row>
    <row r="29" spans="1:93" s="111" customFormat="1" ht="170.25" customHeight="1" x14ac:dyDescent="0.25">
      <c r="A29" s="73">
        <v>28</v>
      </c>
      <c r="B29" s="126" t="s">
        <v>15</v>
      </c>
      <c r="C29" s="73">
        <f>IFERROR(VLOOKUP(B29,UNIDADES!$A:$F,2,FALSE)," ")</f>
        <v>38</v>
      </c>
      <c r="D29" s="73" t="str">
        <f>IFERROR(VLOOKUP(B29,UNIDADES!$A:$F,4,FALSE)," ")</f>
        <v>REGIÓN 1</v>
      </c>
      <c r="E29" s="73" t="str">
        <f>IFERROR(VLOOKUP(B29,UNIDADES!$A:$F,5,FALSE)," ")</f>
        <v>DEPARTAMENTO DE POLICÍA SAN ANDRÉS Y PROVIDENCIA</v>
      </c>
      <c r="F29" s="73" t="str">
        <f>IFERROR(VLOOKUP(B29,UNIDADES!$A:$F,6,FALSE)," ")</f>
        <v>800141053-7</v>
      </c>
      <c r="G29" s="104" t="s">
        <v>15</v>
      </c>
      <c r="H29" s="104" t="s">
        <v>372</v>
      </c>
      <c r="I29" s="76" t="s">
        <v>415</v>
      </c>
      <c r="J29" s="112">
        <v>417388717.83999997</v>
      </c>
      <c r="K29" s="112"/>
      <c r="L29" s="67">
        <f t="shared" si="0"/>
        <v>417388717.83999997</v>
      </c>
      <c r="M29" s="105"/>
      <c r="N29" s="67">
        <f t="shared" si="1"/>
        <v>417388717.83999997</v>
      </c>
      <c r="O29" s="113"/>
      <c r="P29" s="114">
        <v>43419</v>
      </c>
      <c r="Q29" s="114">
        <v>43420</v>
      </c>
      <c r="R29" s="112">
        <v>417388717.83999997</v>
      </c>
      <c r="S29" s="104" t="s">
        <v>374</v>
      </c>
      <c r="T29" s="65" t="s">
        <v>119</v>
      </c>
      <c r="U29" s="104" t="s">
        <v>441</v>
      </c>
      <c r="V29" s="65" t="s">
        <v>366</v>
      </c>
      <c r="W29" s="114">
        <v>43419</v>
      </c>
      <c r="X29" s="114">
        <v>43420</v>
      </c>
      <c r="Y29" s="115">
        <v>43454</v>
      </c>
      <c r="Z29" s="104" t="s">
        <v>367</v>
      </c>
      <c r="AA29" s="68" t="str">
        <f t="shared" si="2"/>
        <v>CUMPLIÓ</v>
      </c>
      <c r="AB29" s="71">
        <f t="shared" si="3"/>
        <v>0</v>
      </c>
      <c r="AC29" s="104" t="s">
        <v>516</v>
      </c>
      <c r="AD29" s="104"/>
      <c r="AE29" s="116">
        <v>43453</v>
      </c>
      <c r="AF29" s="76" t="s">
        <v>415</v>
      </c>
      <c r="AG29" s="104" t="s">
        <v>392</v>
      </c>
      <c r="AH29" s="104" t="s">
        <v>453</v>
      </c>
      <c r="AI29" s="104" t="s">
        <v>354</v>
      </c>
      <c r="AJ29" s="104" t="s">
        <v>394</v>
      </c>
      <c r="AK29" s="112">
        <v>31391320</v>
      </c>
      <c r="AL29" s="112">
        <v>385997397.83999997</v>
      </c>
      <c r="AM29" s="67">
        <f t="shared" si="4"/>
        <v>417388717.83999997</v>
      </c>
      <c r="AN29" s="112">
        <v>417388717.83999997</v>
      </c>
      <c r="AO29" s="112">
        <v>417388717.83999997</v>
      </c>
      <c r="AP29" s="115">
        <v>43454</v>
      </c>
      <c r="AQ29" s="115">
        <v>43677</v>
      </c>
      <c r="AR29" s="65" t="s">
        <v>226</v>
      </c>
      <c r="AS29" s="105">
        <f>1600000+1439645+28351675+18021600+66871800+255600+345600+15194800+48347200+612000+15528800+32093200+13650200+30233200+18598600+30200400+771600+ 16994400+28640000+2932400+1249116.84</f>
        <v>371931836.83999997</v>
      </c>
      <c r="AT29" s="66">
        <f>+AM29-AS29-45456881</f>
        <v>0</v>
      </c>
      <c r="AU29" s="65" t="s">
        <v>153</v>
      </c>
    </row>
    <row r="30" spans="1:93" s="14" customFormat="1" ht="102" customHeight="1" x14ac:dyDescent="0.25">
      <c r="A30" s="73">
        <v>29</v>
      </c>
      <c r="B30" s="65" t="s">
        <v>15</v>
      </c>
      <c r="C30" s="73">
        <f>IFERROR(VLOOKUP(B30,UNIDADES!$A:$F,2,FALSE)," ")</f>
        <v>38</v>
      </c>
      <c r="D30" s="73" t="str">
        <f>IFERROR(VLOOKUP(B30,UNIDADES!$A:$F,4,FALSE)," ")</f>
        <v>REGIÓN 1</v>
      </c>
      <c r="E30" s="73" t="str">
        <f>IFERROR(VLOOKUP(B30,UNIDADES!$A:$F,5,FALSE)," ")</f>
        <v>DEPARTAMENTO DE POLICÍA SAN ANDRÉS Y PROVIDENCIA</v>
      </c>
      <c r="F30" s="73" t="str">
        <f>IFERROR(VLOOKUP(B30,UNIDADES!$A:$F,6,FALSE)," ")</f>
        <v>800141053-7</v>
      </c>
      <c r="G30" s="56" t="s">
        <v>15</v>
      </c>
      <c r="H30" s="56" t="s">
        <v>372</v>
      </c>
      <c r="I30" s="83" t="s">
        <v>518</v>
      </c>
      <c r="J30" s="70">
        <v>10000000</v>
      </c>
      <c r="K30" s="38"/>
      <c r="L30" s="67">
        <f t="shared" si="0"/>
        <v>10000000</v>
      </c>
      <c r="M30" s="70"/>
      <c r="N30" s="67">
        <f t="shared" si="1"/>
        <v>10000000</v>
      </c>
      <c r="O30" s="37"/>
      <c r="P30" s="43">
        <v>43539</v>
      </c>
      <c r="Q30" s="43">
        <v>43536</v>
      </c>
      <c r="R30" s="70">
        <v>10000000</v>
      </c>
      <c r="S30" s="81" t="s">
        <v>416</v>
      </c>
      <c r="T30" s="65" t="s">
        <v>143</v>
      </c>
      <c r="U30" s="81" t="s">
        <v>537</v>
      </c>
      <c r="V30" s="65" t="s">
        <v>358</v>
      </c>
      <c r="W30" s="84">
        <v>43538</v>
      </c>
      <c r="X30" s="84">
        <v>43539</v>
      </c>
      <c r="Y30" s="84">
        <v>43560</v>
      </c>
      <c r="Z30" s="81" t="s">
        <v>538</v>
      </c>
      <c r="AA30" s="68" t="s">
        <v>376</v>
      </c>
      <c r="AB30" s="71">
        <f t="shared" si="3"/>
        <v>0</v>
      </c>
      <c r="AC30" s="81" t="s">
        <v>539</v>
      </c>
      <c r="AD30" s="36"/>
      <c r="AE30" s="85">
        <v>43542</v>
      </c>
      <c r="AF30" s="80" t="s">
        <v>518</v>
      </c>
      <c r="AG30" s="81" t="s">
        <v>540</v>
      </c>
      <c r="AH30" s="81" t="s">
        <v>541</v>
      </c>
      <c r="AI30" s="81" t="s">
        <v>354</v>
      </c>
      <c r="AJ30" s="81" t="s">
        <v>542</v>
      </c>
      <c r="AK30" s="70">
        <v>10000000</v>
      </c>
      <c r="AL30" s="70"/>
      <c r="AM30" s="67">
        <f t="shared" si="4"/>
        <v>10000000</v>
      </c>
      <c r="AN30" s="70">
        <v>10000000</v>
      </c>
      <c r="AO30" s="70">
        <v>10000000</v>
      </c>
      <c r="AP30" s="84">
        <v>43563</v>
      </c>
      <c r="AQ30" s="84">
        <v>43592</v>
      </c>
      <c r="AR30" s="65" t="s">
        <v>237</v>
      </c>
      <c r="AS30" s="82">
        <v>10000000</v>
      </c>
      <c r="AT30" s="86">
        <f t="shared" si="6"/>
        <v>0</v>
      </c>
      <c r="AU30" s="65" t="s">
        <v>153</v>
      </c>
    </row>
    <row r="31" spans="1:93" s="14" customFormat="1" ht="105" x14ac:dyDescent="0.25">
      <c r="A31" s="73">
        <v>30</v>
      </c>
      <c r="B31" s="65" t="s">
        <v>15</v>
      </c>
      <c r="C31" s="73">
        <f>IFERROR(VLOOKUP(B31,UNIDADES!$A:$F,2,FALSE)," ")</f>
        <v>38</v>
      </c>
      <c r="D31" s="73" t="str">
        <f>IFERROR(VLOOKUP(B31,UNIDADES!$A:$F,4,FALSE)," ")</f>
        <v>REGIÓN 1</v>
      </c>
      <c r="E31" s="73" t="str">
        <f>IFERROR(VLOOKUP(B31,UNIDADES!$A:$F,5,FALSE)," ")</f>
        <v>DEPARTAMENTO DE POLICÍA SAN ANDRÉS Y PROVIDENCIA</v>
      </c>
      <c r="F31" s="73" t="str">
        <f>IFERROR(VLOOKUP(B31,UNIDADES!$A:$F,6,FALSE)," ")</f>
        <v>800141053-7</v>
      </c>
      <c r="G31" s="56" t="s">
        <v>15</v>
      </c>
      <c r="H31" s="56" t="s">
        <v>372</v>
      </c>
      <c r="I31" s="83" t="s">
        <v>520</v>
      </c>
      <c r="J31" s="70">
        <v>120000000</v>
      </c>
      <c r="K31" s="38"/>
      <c r="L31" s="67">
        <f t="shared" si="0"/>
        <v>120000000</v>
      </c>
      <c r="M31" s="70"/>
      <c r="N31" s="67">
        <f t="shared" si="1"/>
        <v>120000000</v>
      </c>
      <c r="O31" s="37"/>
      <c r="P31" s="43">
        <v>43503</v>
      </c>
      <c r="Q31" s="43">
        <v>43504</v>
      </c>
      <c r="R31" s="82">
        <v>120000000</v>
      </c>
      <c r="S31" s="81" t="s">
        <v>382</v>
      </c>
      <c r="T31" s="65" t="s">
        <v>120</v>
      </c>
      <c r="U31" s="81">
        <v>35989</v>
      </c>
      <c r="V31" s="65" t="s">
        <v>357</v>
      </c>
      <c r="W31" s="84">
        <v>43503</v>
      </c>
      <c r="X31" s="84" t="s">
        <v>532</v>
      </c>
      <c r="Y31" s="84">
        <v>43525</v>
      </c>
      <c r="Z31" s="81" t="s">
        <v>358</v>
      </c>
      <c r="AA31" s="68" t="s">
        <v>376</v>
      </c>
      <c r="AB31" s="71">
        <f t="shared" si="3"/>
        <v>4882120.9399999976</v>
      </c>
      <c r="AC31" s="81">
        <v>35989</v>
      </c>
      <c r="AD31" s="36"/>
      <c r="AE31" s="85">
        <v>43515</v>
      </c>
      <c r="AF31" s="80" t="s">
        <v>520</v>
      </c>
      <c r="AG31" s="81" t="s">
        <v>466</v>
      </c>
      <c r="AH31" s="81" t="s">
        <v>467</v>
      </c>
      <c r="AI31" s="81" t="s">
        <v>354</v>
      </c>
      <c r="AJ31" s="56" t="s">
        <v>468</v>
      </c>
      <c r="AK31" s="82">
        <v>115117879.06</v>
      </c>
      <c r="AL31" s="38"/>
      <c r="AM31" s="67">
        <f t="shared" si="4"/>
        <v>115117879.06</v>
      </c>
      <c r="AN31" s="82">
        <v>115117879.06</v>
      </c>
      <c r="AO31" s="82">
        <v>115117879.06</v>
      </c>
      <c r="AP31" s="84">
        <v>43525</v>
      </c>
      <c r="AQ31" s="84">
        <v>43465</v>
      </c>
      <c r="AR31" s="65" t="s">
        <v>226</v>
      </c>
      <c r="AS31" s="70">
        <f>11511788+11511788+11511788+11511788+11511788+11511788+11511788+11511788+11511788+11511787.06</f>
        <v>115117879.06</v>
      </c>
      <c r="AT31" s="86">
        <f>AM31-AS31</f>
        <v>0</v>
      </c>
      <c r="AU31" s="65" t="s">
        <v>153</v>
      </c>
    </row>
    <row r="32" spans="1:93" s="14" customFormat="1" ht="122.25" customHeight="1" x14ac:dyDescent="0.25">
      <c r="A32" s="73">
        <v>31</v>
      </c>
      <c r="B32" s="65" t="s">
        <v>15</v>
      </c>
      <c r="C32" s="73">
        <f>IFERROR(VLOOKUP(B32,UNIDADES!$A:$F,2,FALSE)," ")</f>
        <v>38</v>
      </c>
      <c r="D32" s="73" t="str">
        <f>IFERROR(VLOOKUP(B32,UNIDADES!$A:$F,4,FALSE)," ")</f>
        <v>REGIÓN 1</v>
      </c>
      <c r="E32" s="73" t="str">
        <f>IFERROR(VLOOKUP(B32,UNIDADES!$A:$F,5,FALSE)," ")</f>
        <v>DEPARTAMENTO DE POLICÍA SAN ANDRÉS Y PROVIDENCIA</v>
      </c>
      <c r="F32" s="73" t="str">
        <f>IFERROR(VLOOKUP(B32,UNIDADES!$A:$F,6,FALSE)," ")</f>
        <v>800141053-7</v>
      </c>
      <c r="G32" s="56" t="s">
        <v>15</v>
      </c>
      <c r="H32" s="56" t="s">
        <v>372</v>
      </c>
      <c r="I32" s="80" t="s">
        <v>521</v>
      </c>
      <c r="J32" s="70">
        <v>207000000</v>
      </c>
      <c r="K32" s="38"/>
      <c r="L32" s="67">
        <f t="shared" si="0"/>
        <v>207000000</v>
      </c>
      <c r="M32" s="70"/>
      <c r="N32" s="67">
        <f t="shared" si="1"/>
        <v>207000000</v>
      </c>
      <c r="O32" s="37"/>
      <c r="P32" s="43">
        <v>43504</v>
      </c>
      <c r="Q32" s="43">
        <v>43511</v>
      </c>
      <c r="R32" s="70">
        <v>207000000</v>
      </c>
      <c r="S32" s="81" t="s">
        <v>419</v>
      </c>
      <c r="T32" s="65" t="s">
        <v>246</v>
      </c>
      <c r="U32" s="81" t="s">
        <v>534</v>
      </c>
      <c r="V32" s="65" t="s">
        <v>357</v>
      </c>
      <c r="W32" s="84">
        <v>43511</v>
      </c>
      <c r="X32" s="84">
        <v>43511</v>
      </c>
      <c r="Y32" s="84">
        <v>43525</v>
      </c>
      <c r="Z32" s="81" t="s">
        <v>358</v>
      </c>
      <c r="AA32" s="68" t="s">
        <v>376</v>
      </c>
      <c r="AB32" s="71">
        <f t="shared" si="3"/>
        <v>0</v>
      </c>
      <c r="AC32" s="81" t="s">
        <v>535</v>
      </c>
      <c r="AD32" s="81"/>
      <c r="AE32" s="85">
        <v>43517</v>
      </c>
      <c r="AF32" s="80" t="s">
        <v>566</v>
      </c>
      <c r="AG32" s="81" t="s">
        <v>480</v>
      </c>
      <c r="AH32" s="81" t="s">
        <v>481</v>
      </c>
      <c r="AI32" s="81" t="s">
        <v>354</v>
      </c>
      <c r="AJ32" s="72" t="s">
        <v>482</v>
      </c>
      <c r="AK32" s="70">
        <v>207000000</v>
      </c>
      <c r="AL32" s="38"/>
      <c r="AM32" s="67">
        <f t="shared" si="4"/>
        <v>207000000</v>
      </c>
      <c r="AN32" s="82">
        <v>207000000</v>
      </c>
      <c r="AO32" s="82">
        <v>207000000</v>
      </c>
      <c r="AP32" s="84">
        <v>43525</v>
      </c>
      <c r="AQ32" s="84">
        <v>43799</v>
      </c>
      <c r="AR32" s="65" t="s">
        <v>226</v>
      </c>
      <c r="AS32" s="70">
        <f>23000000+23000000+23000000+23000000+23000000+23000000+23000000+23000000+23000000</f>
        <v>207000000</v>
      </c>
      <c r="AT32" s="66">
        <f>+AM32-AS32</f>
        <v>0</v>
      </c>
      <c r="AU32" s="65" t="s">
        <v>153</v>
      </c>
    </row>
    <row r="33" spans="1:47" s="14" customFormat="1" ht="75" x14ac:dyDescent="0.25">
      <c r="A33" s="73">
        <v>32</v>
      </c>
      <c r="B33" s="65" t="s">
        <v>15</v>
      </c>
      <c r="C33" s="73">
        <f>IFERROR(VLOOKUP(B33,UNIDADES!$A:$F,2,FALSE)," ")</f>
        <v>38</v>
      </c>
      <c r="D33" s="73" t="str">
        <f>IFERROR(VLOOKUP(B33,UNIDADES!$A:$F,4,FALSE)," ")</f>
        <v>REGIÓN 1</v>
      </c>
      <c r="E33" s="73" t="str">
        <f>IFERROR(VLOOKUP(B33,UNIDADES!$A:$F,5,FALSE)," ")</f>
        <v>DEPARTAMENTO DE POLICÍA SAN ANDRÉS Y PROVIDENCIA</v>
      </c>
      <c r="F33" s="73" t="str">
        <f>IFERROR(VLOOKUP(B33,UNIDADES!$A:$F,6,FALSE)," ")</f>
        <v>800141053-7</v>
      </c>
      <c r="G33" s="56" t="s">
        <v>15</v>
      </c>
      <c r="H33" s="56" t="s">
        <v>372</v>
      </c>
      <c r="I33" s="80" t="s">
        <v>522</v>
      </c>
      <c r="J33" s="70">
        <v>70000000</v>
      </c>
      <c r="K33" s="38"/>
      <c r="L33" s="67">
        <v>0</v>
      </c>
      <c r="M33" s="70"/>
      <c r="N33" s="67">
        <v>0</v>
      </c>
      <c r="O33" s="37"/>
      <c r="P33" s="43">
        <v>43511</v>
      </c>
      <c r="Q33" s="43">
        <v>43516</v>
      </c>
      <c r="R33" s="82">
        <v>0</v>
      </c>
      <c r="S33" s="81" t="s">
        <v>374</v>
      </c>
      <c r="T33" s="65" t="s">
        <v>143</v>
      </c>
      <c r="U33" s="81" t="s">
        <v>533</v>
      </c>
      <c r="V33" s="65" t="s">
        <v>357</v>
      </c>
      <c r="W33" s="84">
        <v>43511</v>
      </c>
      <c r="X33" s="84">
        <v>43516</v>
      </c>
      <c r="Y33" s="47"/>
      <c r="Z33" s="81" t="s">
        <v>358</v>
      </c>
      <c r="AA33" s="32"/>
      <c r="AB33" s="71">
        <f t="shared" si="3"/>
        <v>0</v>
      </c>
      <c r="AC33" s="36"/>
      <c r="AD33" s="36"/>
      <c r="AE33" s="85">
        <v>43517</v>
      </c>
      <c r="AF33" s="80" t="s">
        <v>522</v>
      </c>
      <c r="AG33" s="50"/>
      <c r="AH33" s="50"/>
      <c r="AI33" s="36"/>
      <c r="AJ33" s="37"/>
      <c r="AK33" s="38"/>
      <c r="AL33" s="38"/>
      <c r="AM33" s="67">
        <f t="shared" si="4"/>
        <v>0</v>
      </c>
      <c r="AN33" s="38"/>
      <c r="AO33" s="38"/>
      <c r="AP33" s="47"/>
      <c r="AQ33" s="47"/>
      <c r="AR33" s="46"/>
      <c r="AS33" s="38"/>
      <c r="AT33" s="33">
        <f t="shared" si="6"/>
        <v>0</v>
      </c>
      <c r="AU33" s="65" t="s">
        <v>115</v>
      </c>
    </row>
    <row r="34" spans="1:47" s="14" customFormat="1" ht="78" customHeight="1" x14ac:dyDescent="0.25">
      <c r="A34" s="73">
        <v>33</v>
      </c>
      <c r="B34" s="65" t="s">
        <v>15</v>
      </c>
      <c r="C34" s="73">
        <f>IFERROR(VLOOKUP(B34,UNIDADES!$A:$F,2,FALSE)," ")</f>
        <v>38</v>
      </c>
      <c r="D34" s="73" t="str">
        <f>IFERROR(VLOOKUP(B34,UNIDADES!$A:$F,4,FALSE)," ")</f>
        <v>REGIÓN 1</v>
      </c>
      <c r="E34" s="73" t="str">
        <f>IFERROR(VLOOKUP(B34,UNIDADES!$A:$F,5,FALSE)," ")</f>
        <v>DEPARTAMENTO DE POLICÍA SAN ANDRÉS Y PROVIDENCIA</v>
      </c>
      <c r="F34" s="73" t="str">
        <f>IFERROR(VLOOKUP(B34,UNIDADES!$A:$F,6,FALSE)," ")</f>
        <v>800141053-7</v>
      </c>
      <c r="G34" s="56" t="s">
        <v>15</v>
      </c>
      <c r="H34" s="56" t="s">
        <v>372</v>
      </c>
      <c r="I34" s="80" t="s">
        <v>522</v>
      </c>
      <c r="J34" s="70">
        <v>70000000</v>
      </c>
      <c r="K34" s="38"/>
      <c r="L34" s="67">
        <v>0</v>
      </c>
      <c r="M34" s="70"/>
      <c r="N34" s="67">
        <v>0</v>
      </c>
      <c r="O34" s="37"/>
      <c r="P34" s="43">
        <v>43531</v>
      </c>
      <c r="Q34" s="43">
        <v>43535</v>
      </c>
      <c r="R34" s="82">
        <v>0</v>
      </c>
      <c r="S34" s="81" t="s">
        <v>374</v>
      </c>
      <c r="T34" s="65" t="s">
        <v>143</v>
      </c>
      <c r="U34" s="81" t="s">
        <v>536</v>
      </c>
      <c r="V34" s="65" t="s">
        <v>358</v>
      </c>
      <c r="W34" s="84">
        <v>43531</v>
      </c>
      <c r="X34" s="84">
        <v>43535</v>
      </c>
      <c r="Y34" s="47"/>
      <c r="Z34" s="81" t="s">
        <v>358</v>
      </c>
      <c r="AA34" s="32"/>
      <c r="AB34" s="71">
        <f t="shared" si="3"/>
        <v>0</v>
      </c>
      <c r="AC34" s="36"/>
      <c r="AD34" s="36"/>
      <c r="AE34" s="85">
        <v>43535</v>
      </c>
      <c r="AF34" s="80" t="s">
        <v>522</v>
      </c>
      <c r="AG34" s="50"/>
      <c r="AH34" s="50"/>
      <c r="AI34" s="36"/>
      <c r="AJ34" s="37"/>
      <c r="AK34" s="38"/>
      <c r="AL34" s="38"/>
      <c r="AM34" s="67">
        <f t="shared" si="4"/>
        <v>0</v>
      </c>
      <c r="AN34" s="38"/>
      <c r="AO34" s="38"/>
      <c r="AP34" s="47"/>
      <c r="AQ34" s="47"/>
      <c r="AR34" s="46"/>
      <c r="AS34" s="38"/>
      <c r="AT34" s="33"/>
      <c r="AU34" s="65" t="s">
        <v>115</v>
      </c>
    </row>
    <row r="35" spans="1:47" s="14" customFormat="1" ht="75" x14ac:dyDescent="0.25">
      <c r="A35" s="73">
        <v>34</v>
      </c>
      <c r="B35" s="65" t="s">
        <v>15</v>
      </c>
      <c r="C35" s="73">
        <f>IFERROR(VLOOKUP(B35,UNIDADES!$A:$F,2,FALSE)," ")</f>
        <v>38</v>
      </c>
      <c r="D35" s="73" t="str">
        <f>IFERROR(VLOOKUP(B35,UNIDADES!$A:$F,4,FALSE)," ")</f>
        <v>REGIÓN 1</v>
      </c>
      <c r="E35" s="73" t="str">
        <f>IFERROR(VLOOKUP(B35,UNIDADES!$A:$F,5,FALSE)," ")</f>
        <v>DEPARTAMENTO DE POLICÍA SAN ANDRÉS Y PROVIDENCIA</v>
      </c>
      <c r="F35" s="73" t="str">
        <f>IFERROR(VLOOKUP(B35,UNIDADES!$A:$F,6,FALSE)," ")</f>
        <v>800141053-7</v>
      </c>
      <c r="G35" s="56" t="s">
        <v>15</v>
      </c>
      <c r="H35" s="56" t="s">
        <v>372</v>
      </c>
      <c r="I35" s="80" t="s">
        <v>523</v>
      </c>
      <c r="J35" s="70">
        <v>15000000</v>
      </c>
      <c r="K35" s="38"/>
      <c r="L35" s="67">
        <f t="shared" si="0"/>
        <v>15000000</v>
      </c>
      <c r="M35" s="70"/>
      <c r="N35" s="67">
        <f t="shared" si="1"/>
        <v>15000000</v>
      </c>
      <c r="O35" s="37"/>
      <c r="P35" s="43">
        <v>43536</v>
      </c>
      <c r="Q35" s="43">
        <v>43531</v>
      </c>
      <c r="R35" s="70">
        <v>15000000</v>
      </c>
      <c r="S35" s="81" t="s">
        <v>382</v>
      </c>
      <c r="T35" s="65" t="s">
        <v>143</v>
      </c>
      <c r="U35" s="81" t="s">
        <v>543</v>
      </c>
      <c r="V35" s="65" t="s">
        <v>358</v>
      </c>
      <c r="W35" s="84">
        <v>43536</v>
      </c>
      <c r="X35" s="84">
        <v>43536</v>
      </c>
      <c r="Y35" s="84">
        <v>43560</v>
      </c>
      <c r="Z35" s="81" t="s">
        <v>538</v>
      </c>
      <c r="AA35" s="68" t="s">
        <v>376</v>
      </c>
      <c r="AB35" s="71">
        <f t="shared" si="3"/>
        <v>0</v>
      </c>
      <c r="AC35" s="81" t="s">
        <v>544</v>
      </c>
      <c r="AD35" s="81"/>
      <c r="AE35" s="85">
        <v>43536</v>
      </c>
      <c r="AF35" s="80" t="s">
        <v>523</v>
      </c>
      <c r="AG35" s="81" t="s">
        <v>540</v>
      </c>
      <c r="AH35" s="81" t="s">
        <v>541</v>
      </c>
      <c r="AI35" s="81" t="s">
        <v>354</v>
      </c>
      <c r="AJ35" s="81" t="s">
        <v>542</v>
      </c>
      <c r="AK35" s="82">
        <v>15000000</v>
      </c>
      <c r="AL35" s="82"/>
      <c r="AM35" s="67">
        <f t="shared" si="4"/>
        <v>15000000</v>
      </c>
      <c r="AN35" s="82">
        <v>15000000</v>
      </c>
      <c r="AO35" s="82">
        <v>15000000</v>
      </c>
      <c r="AP35" s="84">
        <v>43563</v>
      </c>
      <c r="AQ35" s="84">
        <v>43592</v>
      </c>
      <c r="AR35" s="65" t="s">
        <v>237</v>
      </c>
      <c r="AS35" s="82">
        <v>15000000</v>
      </c>
      <c r="AT35" s="86">
        <f>+AM35-AS35</f>
        <v>0</v>
      </c>
      <c r="AU35" s="65" t="s">
        <v>153</v>
      </c>
    </row>
    <row r="36" spans="1:47" s="14" customFormat="1" ht="60" x14ac:dyDescent="0.25">
      <c r="A36" s="73">
        <v>35</v>
      </c>
      <c r="B36" s="65" t="s">
        <v>15</v>
      </c>
      <c r="C36" s="73">
        <f>IFERROR(VLOOKUP(B36,UNIDADES!$A:$F,2,FALSE)," ")</f>
        <v>38</v>
      </c>
      <c r="D36" s="73" t="str">
        <f>IFERROR(VLOOKUP(B36,UNIDADES!$A:$F,4,FALSE)," ")</f>
        <v>REGIÓN 1</v>
      </c>
      <c r="E36" s="73" t="str">
        <f>IFERROR(VLOOKUP(B36,UNIDADES!$A:$F,5,FALSE)," ")</f>
        <v>DEPARTAMENTO DE POLICÍA SAN ANDRÉS Y PROVIDENCIA</v>
      </c>
      <c r="F36" s="73" t="str">
        <f>IFERROR(VLOOKUP(B36,UNIDADES!$A:$F,6,FALSE)," ")</f>
        <v>800141053-7</v>
      </c>
      <c r="G36" s="56" t="s">
        <v>15</v>
      </c>
      <c r="H36" s="56" t="s">
        <v>372</v>
      </c>
      <c r="I36" s="80" t="s">
        <v>524</v>
      </c>
      <c r="J36" s="82">
        <v>30000000</v>
      </c>
      <c r="K36" s="38"/>
      <c r="L36" s="67">
        <v>0</v>
      </c>
      <c r="M36" s="70"/>
      <c r="N36" s="67">
        <v>0</v>
      </c>
      <c r="O36" s="37"/>
      <c r="P36" s="43"/>
      <c r="Q36" s="43"/>
      <c r="R36" s="38"/>
      <c r="S36" s="81" t="s">
        <v>382</v>
      </c>
      <c r="T36" s="65" t="s">
        <v>143</v>
      </c>
      <c r="U36" s="36"/>
      <c r="V36" s="65" t="s">
        <v>358</v>
      </c>
      <c r="W36" s="47"/>
      <c r="X36" s="47"/>
      <c r="Y36" s="47"/>
      <c r="Z36" s="36"/>
      <c r="AA36" s="32"/>
      <c r="AB36" s="71">
        <f t="shared" si="3"/>
        <v>0</v>
      </c>
      <c r="AC36" s="36"/>
      <c r="AD36" s="36"/>
      <c r="AE36" s="81"/>
      <c r="AF36" s="80" t="s">
        <v>524</v>
      </c>
      <c r="AG36" s="50"/>
      <c r="AH36" s="50"/>
      <c r="AI36" s="36"/>
      <c r="AJ36" s="37"/>
      <c r="AK36" s="38"/>
      <c r="AL36" s="38"/>
      <c r="AM36" s="67">
        <f t="shared" si="4"/>
        <v>0</v>
      </c>
      <c r="AN36" s="38"/>
      <c r="AO36" s="38"/>
      <c r="AP36" s="47"/>
      <c r="AQ36" s="47"/>
      <c r="AR36" s="46"/>
      <c r="AS36" s="38"/>
      <c r="AT36" s="33">
        <f t="shared" si="6"/>
        <v>0</v>
      </c>
      <c r="AU36" s="45" t="s">
        <v>148</v>
      </c>
    </row>
    <row r="37" spans="1:47" s="14" customFormat="1" ht="60" x14ac:dyDescent="0.25">
      <c r="A37" s="73">
        <v>36</v>
      </c>
      <c r="B37" s="65" t="s">
        <v>15</v>
      </c>
      <c r="C37" s="73">
        <f>IFERROR(VLOOKUP(B37,UNIDADES!$A:$F,2,FALSE)," ")</f>
        <v>38</v>
      </c>
      <c r="D37" s="73" t="str">
        <f>IFERROR(VLOOKUP(B37,UNIDADES!$A:$F,4,FALSE)," ")</f>
        <v>REGIÓN 1</v>
      </c>
      <c r="E37" s="73" t="str">
        <f>IFERROR(VLOOKUP(B37,UNIDADES!$A:$F,5,FALSE)," ")</f>
        <v>DEPARTAMENTO DE POLICÍA SAN ANDRÉS Y PROVIDENCIA</v>
      </c>
      <c r="F37" s="73" t="str">
        <f>IFERROR(VLOOKUP(B37,UNIDADES!$A:$F,6,FALSE)," ")</f>
        <v>800141053-7</v>
      </c>
      <c r="G37" s="56" t="s">
        <v>15</v>
      </c>
      <c r="H37" s="56" t="s">
        <v>372</v>
      </c>
      <c r="I37" s="80" t="s">
        <v>525</v>
      </c>
      <c r="J37" s="82">
        <v>3700000</v>
      </c>
      <c r="K37" s="38"/>
      <c r="L37" s="67">
        <f t="shared" si="0"/>
        <v>3700000</v>
      </c>
      <c r="M37" s="70"/>
      <c r="N37" s="67">
        <f t="shared" si="1"/>
        <v>3700000</v>
      </c>
      <c r="O37" s="37"/>
      <c r="P37" s="43">
        <v>43511</v>
      </c>
      <c r="Q37" s="43">
        <v>43514</v>
      </c>
      <c r="R37" s="70">
        <v>3700000</v>
      </c>
      <c r="S37" s="81" t="s">
        <v>417</v>
      </c>
      <c r="T37" s="65" t="s">
        <v>120</v>
      </c>
      <c r="U37" s="81">
        <v>36261</v>
      </c>
      <c r="V37" s="65" t="s">
        <v>358</v>
      </c>
      <c r="W37" s="84">
        <v>43511</v>
      </c>
      <c r="X37" s="84">
        <v>43514</v>
      </c>
      <c r="Y37" s="84">
        <v>43534</v>
      </c>
      <c r="Z37" s="81" t="s">
        <v>358</v>
      </c>
      <c r="AA37" s="68" t="s">
        <v>376</v>
      </c>
      <c r="AB37" s="71">
        <f t="shared" si="3"/>
        <v>2095679.5</v>
      </c>
      <c r="AC37" s="81">
        <v>36261</v>
      </c>
      <c r="AD37" s="36"/>
      <c r="AE37" s="85">
        <v>43516</v>
      </c>
      <c r="AF37" s="80" t="s">
        <v>525</v>
      </c>
      <c r="AG37" s="81">
        <v>9000629179</v>
      </c>
      <c r="AH37" s="81" t="s">
        <v>464</v>
      </c>
      <c r="AI37" s="81" t="s">
        <v>354</v>
      </c>
      <c r="AJ37" s="56" t="s">
        <v>465</v>
      </c>
      <c r="AK37" s="82">
        <v>1604320.5</v>
      </c>
      <c r="AL37" s="82"/>
      <c r="AM37" s="67">
        <f t="shared" si="4"/>
        <v>1604320.5</v>
      </c>
      <c r="AN37" s="82">
        <v>1604320.5</v>
      </c>
      <c r="AO37" s="82">
        <v>1604320.5</v>
      </c>
      <c r="AP37" s="84">
        <v>43534</v>
      </c>
      <c r="AQ37" s="84">
        <v>43824</v>
      </c>
      <c r="AR37" s="65" t="s">
        <v>226</v>
      </c>
      <c r="AS37" s="70">
        <f>292442.26+110882+112882+171061.78+177879+110882+628291.46</f>
        <v>1604320.5</v>
      </c>
      <c r="AT37" s="86">
        <f t="shared" si="6"/>
        <v>0</v>
      </c>
      <c r="AU37" s="65" t="s">
        <v>153</v>
      </c>
    </row>
    <row r="38" spans="1:47" s="14" customFormat="1" ht="45" x14ac:dyDescent="0.25">
      <c r="A38" s="73">
        <v>37</v>
      </c>
      <c r="B38" s="65" t="s">
        <v>15</v>
      </c>
      <c r="C38" s="73">
        <f>IFERROR(VLOOKUP(B38,UNIDADES!$A:$F,2,FALSE)," ")</f>
        <v>38</v>
      </c>
      <c r="D38" s="73" t="str">
        <f>IFERROR(VLOOKUP(B38,UNIDADES!$A:$F,4,FALSE)," ")</f>
        <v>REGIÓN 1</v>
      </c>
      <c r="E38" s="73" t="str">
        <f>IFERROR(VLOOKUP(B38,UNIDADES!$A:$F,5,FALSE)," ")</f>
        <v>DEPARTAMENTO DE POLICÍA SAN ANDRÉS Y PROVIDENCIA</v>
      </c>
      <c r="F38" s="73" t="str">
        <f>IFERROR(VLOOKUP(B38,UNIDADES!$A:$F,6,FALSE)," ")</f>
        <v>800141053-7</v>
      </c>
      <c r="G38" s="56" t="s">
        <v>15</v>
      </c>
      <c r="H38" s="56" t="s">
        <v>372</v>
      </c>
      <c r="I38" s="80" t="s">
        <v>526</v>
      </c>
      <c r="J38" s="82">
        <v>75067000</v>
      </c>
      <c r="K38" s="38"/>
      <c r="L38" s="67">
        <f t="shared" si="0"/>
        <v>75067000</v>
      </c>
      <c r="M38" s="70"/>
      <c r="N38" s="67">
        <f t="shared" si="1"/>
        <v>75067000</v>
      </c>
      <c r="O38" s="37"/>
      <c r="P38" s="43">
        <v>43676</v>
      </c>
      <c r="Q38" s="43">
        <v>43689</v>
      </c>
      <c r="R38" s="38">
        <v>75067000</v>
      </c>
      <c r="S38" s="81" t="s">
        <v>421</v>
      </c>
      <c r="T38" s="65" t="s">
        <v>143</v>
      </c>
      <c r="U38" s="36" t="s">
        <v>573</v>
      </c>
      <c r="V38" s="46" t="s">
        <v>362</v>
      </c>
      <c r="W38" s="47">
        <v>43669</v>
      </c>
      <c r="X38" s="47">
        <v>43689</v>
      </c>
      <c r="Y38" s="47">
        <v>43705</v>
      </c>
      <c r="Z38" s="36" t="s">
        <v>363</v>
      </c>
      <c r="AA38" s="32" t="s">
        <v>376</v>
      </c>
      <c r="AB38" s="71">
        <f t="shared" si="3"/>
        <v>0</v>
      </c>
      <c r="AC38" s="36" t="s">
        <v>574</v>
      </c>
      <c r="AD38" s="36"/>
      <c r="AE38" s="85">
        <v>43700</v>
      </c>
      <c r="AF38" s="80" t="s">
        <v>526</v>
      </c>
      <c r="AG38" s="50" t="s">
        <v>575</v>
      </c>
      <c r="AH38" s="50" t="s">
        <v>576</v>
      </c>
      <c r="AI38" s="36" t="s">
        <v>354</v>
      </c>
      <c r="AJ38" s="37" t="s">
        <v>577</v>
      </c>
      <c r="AK38" s="38">
        <v>75067000</v>
      </c>
      <c r="AL38" s="38"/>
      <c r="AM38" s="67">
        <f t="shared" si="4"/>
        <v>75067000</v>
      </c>
      <c r="AN38" s="38">
        <v>75067000</v>
      </c>
      <c r="AO38" s="38">
        <v>75067000</v>
      </c>
      <c r="AP38" s="47">
        <v>43706</v>
      </c>
      <c r="AQ38" s="47">
        <v>43830</v>
      </c>
      <c r="AR38" s="46" t="s">
        <v>226</v>
      </c>
      <c r="AS38" s="38">
        <f>7833500+17370000+49863500</f>
        <v>75067000</v>
      </c>
      <c r="AT38" s="33">
        <f t="shared" si="6"/>
        <v>0</v>
      </c>
      <c r="AU38" s="65" t="s">
        <v>153</v>
      </c>
    </row>
    <row r="39" spans="1:47" s="14" customFormat="1" ht="81.75" customHeight="1" x14ac:dyDescent="0.25">
      <c r="A39" s="73">
        <v>38</v>
      </c>
      <c r="B39" s="65" t="s">
        <v>15</v>
      </c>
      <c r="C39" s="73">
        <f>IFERROR(VLOOKUP(B39,UNIDADES!$A:$F,2,FALSE)," ")</f>
        <v>38</v>
      </c>
      <c r="D39" s="73" t="str">
        <f>IFERROR(VLOOKUP(B39,UNIDADES!$A:$F,4,FALSE)," ")</f>
        <v>REGIÓN 1</v>
      </c>
      <c r="E39" s="73" t="str">
        <f>IFERROR(VLOOKUP(B39,UNIDADES!$A:$F,5,FALSE)," ")</f>
        <v>DEPARTAMENTO DE POLICÍA SAN ANDRÉS Y PROVIDENCIA</v>
      </c>
      <c r="F39" s="73" t="str">
        <f>IFERROR(VLOOKUP(B39,UNIDADES!$A:$F,6,FALSE)," ")</f>
        <v>800141053-7</v>
      </c>
      <c r="G39" s="56" t="s">
        <v>15</v>
      </c>
      <c r="H39" s="56" t="s">
        <v>372</v>
      </c>
      <c r="I39" s="83" t="s">
        <v>545</v>
      </c>
      <c r="J39" s="70">
        <v>70000000</v>
      </c>
      <c r="K39" s="38"/>
      <c r="L39" s="67">
        <v>0</v>
      </c>
      <c r="M39" s="70"/>
      <c r="N39" s="67">
        <v>0</v>
      </c>
      <c r="O39" s="37"/>
      <c r="P39" s="43">
        <v>43550</v>
      </c>
      <c r="Q39" s="43">
        <v>43551</v>
      </c>
      <c r="R39" s="70">
        <v>0</v>
      </c>
      <c r="S39" s="81" t="s">
        <v>374</v>
      </c>
      <c r="T39" s="65" t="s">
        <v>143</v>
      </c>
      <c r="U39" s="81" t="s">
        <v>546</v>
      </c>
      <c r="V39" s="65" t="s">
        <v>359</v>
      </c>
      <c r="W39" s="84">
        <v>43550</v>
      </c>
      <c r="X39" s="84">
        <v>43550</v>
      </c>
      <c r="Y39" s="47"/>
      <c r="Z39" s="81"/>
      <c r="AA39" s="68"/>
      <c r="AB39" s="71">
        <f t="shared" si="3"/>
        <v>0</v>
      </c>
      <c r="AC39" s="81"/>
      <c r="AD39" s="36"/>
      <c r="AE39" s="85">
        <v>43552</v>
      </c>
      <c r="AF39" s="83" t="s">
        <v>545</v>
      </c>
      <c r="AG39" s="50"/>
      <c r="AH39" s="50"/>
      <c r="AI39" s="36"/>
      <c r="AJ39" s="37"/>
      <c r="AK39" s="38"/>
      <c r="AL39" s="38"/>
      <c r="AM39" s="67">
        <f t="shared" si="4"/>
        <v>0</v>
      </c>
      <c r="AN39" s="38"/>
      <c r="AO39" s="38"/>
      <c r="AP39" s="47"/>
      <c r="AQ39" s="47"/>
      <c r="AR39" s="46"/>
      <c r="AS39" s="87"/>
      <c r="AT39" s="33"/>
      <c r="AU39" s="65" t="s">
        <v>115</v>
      </c>
    </row>
    <row r="40" spans="1:47" s="111" customFormat="1" ht="186.75" customHeight="1" x14ac:dyDescent="0.25">
      <c r="A40" s="73">
        <v>39</v>
      </c>
      <c r="B40" s="65" t="s">
        <v>15</v>
      </c>
      <c r="C40" s="73">
        <f>IFERROR(VLOOKUP(B40,UNIDADES!$A:$F,2,FALSE)," ")</f>
        <v>38</v>
      </c>
      <c r="D40" s="73" t="str">
        <f>IFERROR(VLOOKUP(B40,UNIDADES!$A:$F,4,FALSE)," ")</f>
        <v>REGIÓN 1</v>
      </c>
      <c r="E40" s="73" t="str">
        <f>IFERROR(VLOOKUP(B40,UNIDADES!$A:$F,5,FALSE)," ")</f>
        <v>DEPARTAMENTO DE POLICÍA SAN ANDRÉS Y PROVIDENCIA</v>
      </c>
      <c r="F40" s="73" t="str">
        <f>IFERROR(VLOOKUP(B40,UNIDADES!$A:$F,6,FALSE)," ")</f>
        <v>800141053-7</v>
      </c>
      <c r="G40" s="104" t="s">
        <v>15</v>
      </c>
      <c r="H40" s="104" t="s">
        <v>372</v>
      </c>
      <c r="I40" s="76" t="s">
        <v>415</v>
      </c>
      <c r="J40" s="105">
        <f>4500000+4250000</f>
        <v>8750000</v>
      </c>
      <c r="K40" s="105">
        <v>13000000</v>
      </c>
      <c r="L40" s="67">
        <f>J40+K40</f>
        <v>21750000</v>
      </c>
      <c r="M40" s="105"/>
      <c r="N40" s="67">
        <v>21750000</v>
      </c>
      <c r="O40" s="106"/>
      <c r="P40" s="107">
        <v>43550</v>
      </c>
      <c r="Q40" s="107">
        <v>43552</v>
      </c>
      <c r="R40" s="105">
        <v>21750000</v>
      </c>
      <c r="S40" s="103" t="s">
        <v>547</v>
      </c>
      <c r="T40" s="65" t="s">
        <v>245</v>
      </c>
      <c r="U40" s="104" t="s">
        <v>441</v>
      </c>
      <c r="V40" s="65" t="s">
        <v>358</v>
      </c>
      <c r="W40" s="108">
        <v>43550</v>
      </c>
      <c r="X40" s="108">
        <v>43550</v>
      </c>
      <c r="Y40" s="108">
        <v>43552</v>
      </c>
      <c r="Z40" s="103" t="s">
        <v>358</v>
      </c>
      <c r="AA40" s="68" t="s">
        <v>376</v>
      </c>
      <c r="AB40" s="71">
        <f t="shared" si="3"/>
        <v>0</v>
      </c>
      <c r="AC40" s="103" t="s">
        <v>516</v>
      </c>
      <c r="AD40" s="103"/>
      <c r="AE40" s="109">
        <v>43553</v>
      </c>
      <c r="AF40" s="76" t="s">
        <v>415</v>
      </c>
      <c r="AG40" s="104" t="s">
        <v>392</v>
      </c>
      <c r="AH40" s="104" t="s">
        <v>453</v>
      </c>
      <c r="AI40" s="104" t="s">
        <v>354</v>
      </c>
      <c r="AJ40" s="104" t="s">
        <v>394</v>
      </c>
      <c r="AK40" s="105">
        <v>21750000</v>
      </c>
      <c r="AL40" s="105"/>
      <c r="AM40" s="67">
        <f t="shared" si="4"/>
        <v>21750000</v>
      </c>
      <c r="AN40" s="105">
        <v>21750000</v>
      </c>
      <c r="AO40" s="105">
        <v>21750000</v>
      </c>
      <c r="AP40" s="108" t="s">
        <v>548</v>
      </c>
      <c r="AQ40" s="108">
        <v>43677</v>
      </c>
      <c r="AR40" s="65" t="s">
        <v>226</v>
      </c>
      <c r="AS40" s="110">
        <f>4278800+1766800+5238800+859200+3482400+4129200+264000+1360000+370800</f>
        <v>21750000</v>
      </c>
      <c r="AT40" s="66">
        <f>AM40-AS40</f>
        <v>0</v>
      </c>
      <c r="AU40" s="65" t="s">
        <v>153</v>
      </c>
    </row>
    <row r="41" spans="1:47" s="14" customFormat="1" ht="145.5" customHeight="1" x14ac:dyDescent="0.25">
      <c r="A41" s="73">
        <v>40</v>
      </c>
      <c r="B41" s="65" t="s">
        <v>15</v>
      </c>
      <c r="C41" s="73">
        <f>IFERROR(VLOOKUP(B41,UNIDADES!$A:$F,2,FALSE)," ")</f>
        <v>38</v>
      </c>
      <c r="D41" s="73" t="str">
        <f>IFERROR(VLOOKUP(B41,UNIDADES!$A:$F,4,FALSE)," ")</f>
        <v>REGIÓN 1</v>
      </c>
      <c r="E41" s="73" t="str">
        <f>IFERROR(VLOOKUP(B41,UNIDADES!$A:$F,5,FALSE)," ")</f>
        <v>DEPARTAMENTO DE POLICÍA SAN ANDRÉS Y PROVIDENCIA</v>
      </c>
      <c r="F41" s="73" t="str">
        <f>IFERROR(VLOOKUP(B41,UNIDADES!$A:$F,6,FALSE)," ")</f>
        <v>800141053-7</v>
      </c>
      <c r="G41" s="56" t="s">
        <v>15</v>
      </c>
      <c r="H41" s="56" t="s">
        <v>372</v>
      </c>
      <c r="I41" s="76" t="s">
        <v>408</v>
      </c>
      <c r="J41" s="70">
        <v>3600000</v>
      </c>
      <c r="K41" s="70">
        <v>4000000</v>
      </c>
      <c r="L41" s="67">
        <f>J41+K41</f>
        <v>7600000</v>
      </c>
      <c r="M41" s="70"/>
      <c r="N41" s="67">
        <v>7600000</v>
      </c>
      <c r="O41" s="72"/>
      <c r="P41" s="43">
        <v>43550</v>
      </c>
      <c r="Q41" s="43">
        <v>43552</v>
      </c>
      <c r="R41" s="70">
        <v>7600000</v>
      </c>
      <c r="S41" s="81" t="s">
        <v>547</v>
      </c>
      <c r="T41" s="65" t="s">
        <v>245</v>
      </c>
      <c r="U41" s="56" t="s">
        <v>437</v>
      </c>
      <c r="V41" s="65" t="s">
        <v>358</v>
      </c>
      <c r="W41" s="84">
        <v>43550</v>
      </c>
      <c r="X41" s="84">
        <v>43550</v>
      </c>
      <c r="Y41" s="84">
        <v>43552</v>
      </c>
      <c r="Z41" s="81" t="s">
        <v>358</v>
      </c>
      <c r="AA41" s="68" t="s">
        <v>376</v>
      </c>
      <c r="AB41" s="71">
        <f t="shared" si="3"/>
        <v>0</v>
      </c>
      <c r="AC41" s="81" t="s">
        <v>503</v>
      </c>
      <c r="AD41" s="81"/>
      <c r="AE41" s="85">
        <v>43553</v>
      </c>
      <c r="AF41" s="76" t="s">
        <v>408</v>
      </c>
      <c r="AG41" s="56" t="s">
        <v>379</v>
      </c>
      <c r="AH41" s="56" t="s">
        <v>504</v>
      </c>
      <c r="AI41" s="56" t="s">
        <v>354</v>
      </c>
      <c r="AJ41" s="56" t="s">
        <v>381</v>
      </c>
      <c r="AK41" s="70">
        <v>7600000</v>
      </c>
      <c r="AL41" s="70"/>
      <c r="AM41" s="67">
        <f t="shared" si="4"/>
        <v>7600000</v>
      </c>
      <c r="AN41" s="70">
        <v>7600000</v>
      </c>
      <c r="AO41" s="70">
        <v>7600000</v>
      </c>
      <c r="AP41" s="84" t="s">
        <v>548</v>
      </c>
      <c r="AQ41" s="84">
        <v>43677</v>
      </c>
      <c r="AR41" s="65" t="s">
        <v>226</v>
      </c>
      <c r="AS41" s="91">
        <f>517400+86800+1122378.55+636800+86800+1527148.35+808325+86800+542148.1+565040+264000+755736+600624</f>
        <v>7600000</v>
      </c>
      <c r="AT41" s="66">
        <f>AM41-AS41</f>
        <v>0</v>
      </c>
      <c r="AU41" s="65" t="s">
        <v>153</v>
      </c>
    </row>
    <row r="42" spans="1:47" s="14" customFormat="1" ht="145.5" customHeight="1" x14ac:dyDescent="0.25">
      <c r="A42" s="73">
        <v>41</v>
      </c>
      <c r="B42" s="65" t="s">
        <v>15</v>
      </c>
      <c r="C42" s="73">
        <f>IFERROR(VLOOKUP(B42,UNIDADES!$A:$F,2,FALSE)," ")</f>
        <v>38</v>
      </c>
      <c r="D42" s="73" t="str">
        <f>IFERROR(VLOOKUP(B42,UNIDADES!$A:$F,4,FALSE)," ")</f>
        <v>REGIÓN 1</v>
      </c>
      <c r="E42" s="73" t="str">
        <f>IFERROR(VLOOKUP(B42,UNIDADES!$A:$F,5,FALSE)," ")</f>
        <v>DEPARTAMENTO DE POLICÍA SAN ANDRÉS Y PROVIDENCIA</v>
      </c>
      <c r="F42" s="73" t="str">
        <f>IFERROR(VLOOKUP(B42,UNIDADES!$A:$F,6,FALSE)," ")</f>
        <v>800141053-7</v>
      </c>
      <c r="G42" s="56" t="s">
        <v>15</v>
      </c>
      <c r="H42" s="56" t="s">
        <v>372</v>
      </c>
      <c r="I42" s="76" t="s">
        <v>401</v>
      </c>
      <c r="J42" s="70"/>
      <c r="K42" s="70">
        <v>0</v>
      </c>
      <c r="L42" s="67">
        <v>0</v>
      </c>
      <c r="M42" s="70"/>
      <c r="N42" s="67">
        <v>0</v>
      </c>
      <c r="O42" s="72"/>
      <c r="P42" s="43"/>
      <c r="Q42" s="43"/>
      <c r="R42" s="70">
        <v>0</v>
      </c>
      <c r="S42" s="81" t="s">
        <v>417</v>
      </c>
      <c r="T42" s="65" t="s">
        <v>143</v>
      </c>
      <c r="U42" s="56"/>
      <c r="V42" s="65"/>
      <c r="W42" s="84"/>
      <c r="X42" s="84"/>
      <c r="Y42" s="84"/>
      <c r="Z42" s="81" t="s">
        <v>538</v>
      </c>
      <c r="AA42" s="68" t="s">
        <v>376</v>
      </c>
      <c r="AB42" s="71">
        <f t="shared" si="3"/>
        <v>0</v>
      </c>
      <c r="AC42" s="81"/>
      <c r="AD42" s="81"/>
      <c r="AE42" s="85"/>
      <c r="AF42" s="76"/>
      <c r="AG42" s="56"/>
      <c r="AH42" s="56"/>
      <c r="AI42" s="56"/>
      <c r="AJ42" s="56"/>
      <c r="AK42" s="70"/>
      <c r="AL42" s="70"/>
      <c r="AM42" s="67">
        <f t="shared" si="4"/>
        <v>0</v>
      </c>
      <c r="AN42" s="70"/>
      <c r="AO42" s="70"/>
      <c r="AP42" s="84"/>
      <c r="AQ42" s="84"/>
      <c r="AR42" s="65"/>
      <c r="AS42" s="91"/>
      <c r="AT42" s="66"/>
      <c r="AU42" s="65" t="s">
        <v>148</v>
      </c>
    </row>
    <row r="43" spans="1:47" s="14" customFormat="1" ht="73.5" customHeight="1" x14ac:dyDescent="0.25">
      <c r="A43" s="73">
        <v>42</v>
      </c>
      <c r="B43" s="65" t="s">
        <v>15</v>
      </c>
      <c r="C43" s="73">
        <f>IFERROR(VLOOKUP(B43,UNIDADES!$A:$F,2,FALSE)," ")</f>
        <v>38</v>
      </c>
      <c r="D43" s="73" t="str">
        <f>IFERROR(VLOOKUP(B43,UNIDADES!$A:$F,4,FALSE)," ")</f>
        <v>REGIÓN 1</v>
      </c>
      <c r="E43" s="73" t="str">
        <f>IFERROR(VLOOKUP(B43,UNIDADES!$A:$F,5,FALSE)," ")</f>
        <v>DEPARTAMENTO DE POLICÍA SAN ANDRÉS Y PROVIDENCIA</v>
      </c>
      <c r="F43" s="73" t="str">
        <f>IFERROR(VLOOKUP(B43,UNIDADES!$A:$F,6,FALSE)," ")</f>
        <v>800141053-7</v>
      </c>
      <c r="G43" s="56" t="s">
        <v>15</v>
      </c>
      <c r="H43" s="56" t="s">
        <v>372</v>
      </c>
      <c r="I43" s="83" t="s">
        <v>545</v>
      </c>
      <c r="J43" s="70">
        <v>70000000</v>
      </c>
      <c r="K43" s="70"/>
      <c r="L43" s="67">
        <v>0</v>
      </c>
      <c r="M43" s="70"/>
      <c r="N43" s="67">
        <v>0</v>
      </c>
      <c r="O43" s="72"/>
      <c r="P43" s="43">
        <v>43564</v>
      </c>
      <c r="Q43" s="43">
        <v>43565</v>
      </c>
      <c r="R43" s="70">
        <v>0</v>
      </c>
      <c r="S43" s="81" t="s">
        <v>374</v>
      </c>
      <c r="T43" s="65" t="s">
        <v>143</v>
      </c>
      <c r="U43" s="56" t="s">
        <v>549</v>
      </c>
      <c r="V43" s="65" t="s">
        <v>359</v>
      </c>
      <c r="W43" s="84">
        <v>43564</v>
      </c>
      <c r="X43" s="84">
        <v>43564</v>
      </c>
      <c r="Y43" s="84">
        <v>43581</v>
      </c>
      <c r="Z43" s="81" t="s">
        <v>538</v>
      </c>
      <c r="AA43" s="68"/>
      <c r="AB43" s="71">
        <f t="shared" si="3"/>
        <v>0</v>
      </c>
      <c r="AC43" s="81"/>
      <c r="AD43" s="81"/>
      <c r="AE43" s="85">
        <v>43565</v>
      </c>
      <c r="AF43" s="83" t="s">
        <v>545</v>
      </c>
      <c r="AG43" s="56"/>
      <c r="AH43" s="56"/>
      <c r="AI43" s="56"/>
      <c r="AJ43" s="56"/>
      <c r="AK43" s="70"/>
      <c r="AL43" s="70"/>
      <c r="AM43" s="67">
        <f t="shared" si="4"/>
        <v>0</v>
      </c>
      <c r="AN43" s="70"/>
      <c r="AO43" s="70"/>
      <c r="AP43" s="84"/>
      <c r="AQ43" s="84"/>
      <c r="AR43" s="65"/>
      <c r="AS43" s="88"/>
      <c r="AT43" s="66"/>
      <c r="AU43" s="65" t="s">
        <v>115</v>
      </c>
    </row>
    <row r="44" spans="1:47" s="14" customFormat="1" ht="117" customHeight="1" x14ac:dyDescent="0.25">
      <c r="A44" s="73">
        <v>43</v>
      </c>
      <c r="B44" s="65" t="s">
        <v>15</v>
      </c>
      <c r="C44" s="73">
        <f>IFERROR(VLOOKUP(B44,UNIDADES!$A:$F,2,FALSE)," ")</f>
        <v>38</v>
      </c>
      <c r="D44" s="73" t="str">
        <f>IFERROR(VLOOKUP(B44,UNIDADES!$A:$F,4,FALSE)," ")</f>
        <v>REGIÓN 1</v>
      </c>
      <c r="E44" s="73" t="str">
        <f>IFERROR(VLOOKUP(B44,UNIDADES!$A:$F,5,FALSE)," ")</f>
        <v>DEPARTAMENTO DE POLICÍA SAN ANDRÉS Y PROVIDENCIA</v>
      </c>
      <c r="F44" s="73" t="str">
        <f>IFERROR(VLOOKUP(B44,UNIDADES!$A:$F,6,FALSE)," ")</f>
        <v>800141053-7</v>
      </c>
      <c r="G44" s="56" t="s">
        <v>15</v>
      </c>
      <c r="H44" s="56" t="s">
        <v>372</v>
      </c>
      <c r="I44" s="83" t="s">
        <v>527</v>
      </c>
      <c r="J44" s="82">
        <v>365905054.30000001</v>
      </c>
      <c r="K44" s="38"/>
      <c r="L44" s="67">
        <f t="shared" si="0"/>
        <v>365905054.30000001</v>
      </c>
      <c r="M44" s="70"/>
      <c r="N44" s="67">
        <f t="shared" si="1"/>
        <v>365905054.30000001</v>
      </c>
      <c r="O44" s="37"/>
      <c r="P44" s="43">
        <v>43573</v>
      </c>
      <c r="Q44" s="43">
        <v>43579</v>
      </c>
      <c r="R44" s="70">
        <v>365905054.30000001</v>
      </c>
      <c r="S44" s="81" t="s">
        <v>382</v>
      </c>
      <c r="T44" s="65" t="s">
        <v>246</v>
      </c>
      <c r="U44" s="81" t="s">
        <v>550</v>
      </c>
      <c r="V44" s="65" t="s">
        <v>359</v>
      </c>
      <c r="W44" s="84">
        <v>43573</v>
      </c>
      <c r="X44" s="84">
        <v>43573</v>
      </c>
      <c r="Y44" s="84">
        <v>43586</v>
      </c>
      <c r="Z44" s="81" t="s">
        <v>360</v>
      </c>
      <c r="AA44" s="68" t="s">
        <v>376</v>
      </c>
      <c r="AB44" s="71">
        <f t="shared" si="3"/>
        <v>0</v>
      </c>
      <c r="AC44" s="81" t="s">
        <v>551</v>
      </c>
      <c r="AD44" s="81"/>
      <c r="AE44" s="85">
        <v>43579</v>
      </c>
      <c r="AF44" s="80" t="s">
        <v>565</v>
      </c>
      <c r="AG44" s="81">
        <v>40991861</v>
      </c>
      <c r="AH44" s="56" t="s">
        <v>506</v>
      </c>
      <c r="AI44" s="56" t="s">
        <v>354</v>
      </c>
      <c r="AJ44" s="56" t="s">
        <v>507</v>
      </c>
      <c r="AK44" s="70">
        <v>365905054.30000001</v>
      </c>
      <c r="AL44" s="70"/>
      <c r="AM44" s="67">
        <f t="shared" si="4"/>
        <v>365905054.30000001</v>
      </c>
      <c r="AN44" s="70">
        <v>365905054.30000001</v>
      </c>
      <c r="AO44" s="70">
        <v>365905054.30000001</v>
      </c>
      <c r="AP44" s="84">
        <v>43586</v>
      </c>
      <c r="AQ44" s="84">
        <v>43738</v>
      </c>
      <c r="AR44" s="65" t="s">
        <v>226</v>
      </c>
      <c r="AS44" s="70">
        <f>73181010.86+73181010.86+73181010.86+73181010.86+73181010.86</f>
        <v>365905054.30000001</v>
      </c>
      <c r="AT44" s="66">
        <f t="shared" si="6"/>
        <v>0</v>
      </c>
      <c r="AU44" s="65" t="s">
        <v>153</v>
      </c>
    </row>
    <row r="45" spans="1:47" s="14" customFormat="1" ht="117" customHeight="1" x14ac:dyDescent="0.25">
      <c r="A45" s="73">
        <v>44</v>
      </c>
      <c r="B45" s="65" t="s">
        <v>15</v>
      </c>
      <c r="C45" s="73">
        <f>IFERROR(VLOOKUP(B45,UNIDADES!$A:$F,2,FALSE)," ")</f>
        <v>38</v>
      </c>
      <c r="D45" s="73" t="str">
        <f>IFERROR(VLOOKUP(B45,UNIDADES!$A:$F,4,FALSE)," ")</f>
        <v>REGIÓN 1</v>
      </c>
      <c r="E45" s="73" t="str">
        <f>IFERROR(VLOOKUP(B45,UNIDADES!$A:$F,5,FALSE)," ")</f>
        <v>DEPARTAMENTO DE POLICÍA SAN ANDRÉS Y PROVIDENCIA</v>
      </c>
      <c r="F45" s="73" t="str">
        <f>IFERROR(VLOOKUP(B45,UNIDADES!$A:$F,6,FALSE)," ")</f>
        <v>800141053-7</v>
      </c>
      <c r="G45" s="56" t="s">
        <v>15</v>
      </c>
      <c r="H45" s="56" t="s">
        <v>372</v>
      </c>
      <c r="I45" s="83" t="s">
        <v>545</v>
      </c>
      <c r="J45" s="70">
        <v>70000000</v>
      </c>
      <c r="K45" s="38"/>
      <c r="L45" s="67">
        <v>70000000</v>
      </c>
      <c r="M45" s="70"/>
      <c r="N45" s="67">
        <v>70000000</v>
      </c>
      <c r="O45" s="37"/>
      <c r="P45" s="43">
        <v>43579</v>
      </c>
      <c r="Q45" s="43">
        <v>43580</v>
      </c>
      <c r="R45" s="70">
        <v>70000000</v>
      </c>
      <c r="S45" s="81" t="s">
        <v>374</v>
      </c>
      <c r="T45" s="65" t="s">
        <v>143</v>
      </c>
      <c r="U45" s="81" t="s">
        <v>552</v>
      </c>
      <c r="V45" s="65" t="s">
        <v>359</v>
      </c>
      <c r="W45" s="84">
        <v>43579</v>
      </c>
      <c r="X45" s="84">
        <v>43579</v>
      </c>
      <c r="Y45" s="84">
        <v>43593</v>
      </c>
      <c r="Z45" s="81" t="s">
        <v>360</v>
      </c>
      <c r="AA45" s="68" t="s">
        <v>376</v>
      </c>
      <c r="AB45" s="71">
        <f t="shared" si="3"/>
        <v>1593600</v>
      </c>
      <c r="AC45" s="81" t="s">
        <v>553</v>
      </c>
      <c r="AD45" s="81"/>
      <c r="AE45" s="85">
        <v>43580</v>
      </c>
      <c r="AF45" s="83" t="s">
        <v>545</v>
      </c>
      <c r="AG45" s="81" t="s">
        <v>554</v>
      </c>
      <c r="AH45" s="56" t="s">
        <v>508</v>
      </c>
      <c r="AI45" s="56" t="s">
        <v>354</v>
      </c>
      <c r="AJ45" s="56" t="s">
        <v>555</v>
      </c>
      <c r="AK45" s="70">
        <v>68406400</v>
      </c>
      <c r="AL45" s="70"/>
      <c r="AM45" s="67">
        <f t="shared" si="4"/>
        <v>68406400</v>
      </c>
      <c r="AN45" s="70">
        <v>68406400</v>
      </c>
      <c r="AO45" s="70">
        <v>68406400</v>
      </c>
      <c r="AP45" s="84">
        <v>43593</v>
      </c>
      <c r="AQ45" s="84">
        <v>43830</v>
      </c>
      <c r="AR45" s="65" t="s">
        <v>226</v>
      </c>
      <c r="AS45" s="70">
        <f>68406400</f>
        <v>68406400</v>
      </c>
      <c r="AT45" s="66">
        <f>AM45-AS45</f>
        <v>0</v>
      </c>
      <c r="AU45" s="65" t="s">
        <v>153</v>
      </c>
    </row>
    <row r="46" spans="1:47" s="14" customFormat="1" ht="45" x14ac:dyDescent="0.25">
      <c r="A46" s="73">
        <v>45</v>
      </c>
      <c r="B46" s="65" t="s">
        <v>15</v>
      </c>
      <c r="C46" s="73">
        <f>IFERROR(VLOOKUP(B46,UNIDADES!$A:$F,2,FALSE)," ")</f>
        <v>38</v>
      </c>
      <c r="D46" s="73" t="str">
        <f>IFERROR(VLOOKUP(B46,UNIDADES!$A:$F,4,FALSE)," ")</f>
        <v>REGIÓN 1</v>
      </c>
      <c r="E46" s="73" t="str">
        <f>IFERROR(VLOOKUP(B46,UNIDADES!$A:$F,5,FALSE)," ")</f>
        <v>DEPARTAMENTO DE POLICÍA SAN ANDRÉS Y PROVIDENCIA</v>
      </c>
      <c r="F46" s="73" t="str">
        <f>IFERROR(VLOOKUP(B46,UNIDADES!$A:$F,6,FALSE)," ")</f>
        <v>800141053-7</v>
      </c>
      <c r="G46" s="56" t="s">
        <v>15</v>
      </c>
      <c r="H46" s="56" t="s">
        <v>372</v>
      </c>
      <c r="I46" s="72" t="s">
        <v>519</v>
      </c>
      <c r="J46" s="70">
        <v>40000000</v>
      </c>
      <c r="K46" s="38"/>
      <c r="L46" s="67">
        <f>+J46+K46</f>
        <v>40000000</v>
      </c>
      <c r="M46" s="70"/>
      <c r="N46" s="67">
        <f>+L46+M46</f>
        <v>40000000</v>
      </c>
      <c r="O46" s="37"/>
      <c r="P46" s="43">
        <v>43601</v>
      </c>
      <c r="Q46" s="43">
        <v>43606</v>
      </c>
      <c r="R46" s="70">
        <v>40000000</v>
      </c>
      <c r="S46" s="81" t="s">
        <v>416</v>
      </c>
      <c r="T46" s="65" t="s">
        <v>143</v>
      </c>
      <c r="U46" s="81" t="s">
        <v>556</v>
      </c>
      <c r="V46" s="65" t="s">
        <v>357</v>
      </c>
      <c r="W46" s="47">
        <v>43601</v>
      </c>
      <c r="X46" s="47">
        <v>43602</v>
      </c>
      <c r="Y46" s="84">
        <v>43629</v>
      </c>
      <c r="Z46" s="81" t="s">
        <v>361</v>
      </c>
      <c r="AA46" s="68" t="s">
        <v>376</v>
      </c>
      <c r="AB46" s="71">
        <f t="shared" si="3"/>
        <v>0</v>
      </c>
      <c r="AC46" s="81" t="s">
        <v>557</v>
      </c>
      <c r="AD46" s="36"/>
      <c r="AE46" s="85">
        <v>43606</v>
      </c>
      <c r="AF46" s="80" t="s">
        <v>519</v>
      </c>
      <c r="AG46" s="81" t="s">
        <v>558</v>
      </c>
      <c r="AH46" s="81" t="s">
        <v>560</v>
      </c>
      <c r="AI46" s="81" t="s">
        <v>354</v>
      </c>
      <c r="AJ46" s="81" t="s">
        <v>559</v>
      </c>
      <c r="AK46" s="82">
        <v>40000000</v>
      </c>
      <c r="AL46" s="82"/>
      <c r="AM46" s="67">
        <f t="shared" si="4"/>
        <v>40000000</v>
      </c>
      <c r="AN46" s="82">
        <v>40000000</v>
      </c>
      <c r="AO46" s="70">
        <v>40000000</v>
      </c>
      <c r="AP46" s="84">
        <v>43629</v>
      </c>
      <c r="AQ46" s="84">
        <v>43830</v>
      </c>
      <c r="AR46" s="65" t="s">
        <v>226</v>
      </c>
      <c r="AS46" s="70">
        <f>6941500+33042010+16490</f>
        <v>40000000</v>
      </c>
      <c r="AT46" s="66">
        <f>+AM46-AS46</f>
        <v>0</v>
      </c>
      <c r="AU46" s="65" t="s">
        <v>153</v>
      </c>
    </row>
    <row r="47" spans="1:47" s="14" customFormat="1" ht="135" customHeight="1" x14ac:dyDescent="0.25">
      <c r="A47" s="73">
        <v>48</v>
      </c>
      <c r="B47" s="65" t="s">
        <v>15</v>
      </c>
      <c r="C47" s="73">
        <f>IFERROR(VLOOKUP(B47,UNIDADES!$A:$F,2,FALSE)," ")</f>
        <v>38</v>
      </c>
      <c r="D47" s="73" t="str">
        <f>IFERROR(VLOOKUP(B47,UNIDADES!$A:$F,4,FALSE)," ")</f>
        <v>REGIÓN 1</v>
      </c>
      <c r="E47" s="73" t="str">
        <f>IFERROR(VLOOKUP(B47,UNIDADES!$A:$F,5,FALSE)," ")</f>
        <v>DEPARTAMENTO DE POLICÍA SAN ANDRÉS Y PROVIDENCIA</v>
      </c>
      <c r="F47" s="73" t="str">
        <f>IFERROR(VLOOKUP(B47,UNIDADES!$A:$F,6,FALSE)," ")</f>
        <v>800141053-7</v>
      </c>
      <c r="G47" s="56" t="s">
        <v>15</v>
      </c>
      <c r="H47" s="56" t="s">
        <v>372</v>
      </c>
      <c r="I47" s="83" t="s">
        <v>528</v>
      </c>
      <c r="J47" s="82">
        <f>150000000+3500000+6500000+2125000</f>
        <v>162125000</v>
      </c>
      <c r="K47" s="38"/>
      <c r="L47" s="67">
        <f t="shared" si="0"/>
        <v>162125000</v>
      </c>
      <c r="M47" s="70"/>
      <c r="N47" s="67">
        <f t="shared" si="1"/>
        <v>162125000</v>
      </c>
      <c r="O47" s="37"/>
      <c r="P47" s="43">
        <v>43634</v>
      </c>
      <c r="Q47" s="43">
        <v>43636</v>
      </c>
      <c r="R47" s="70">
        <v>168125000</v>
      </c>
      <c r="S47" s="81" t="s">
        <v>561</v>
      </c>
      <c r="T47" s="65" t="s">
        <v>245</v>
      </c>
      <c r="U47" s="81" t="s">
        <v>562</v>
      </c>
      <c r="V47" s="65" t="s">
        <v>361</v>
      </c>
      <c r="W47" s="93">
        <v>43634</v>
      </c>
      <c r="X47" s="93">
        <v>43636</v>
      </c>
      <c r="Y47" s="93">
        <v>43678</v>
      </c>
      <c r="Z47" s="93" t="s">
        <v>363</v>
      </c>
      <c r="AA47" s="68" t="s">
        <v>376</v>
      </c>
      <c r="AB47" s="71">
        <f t="shared" si="3"/>
        <v>0</v>
      </c>
      <c r="AC47" s="81" t="s">
        <v>516</v>
      </c>
      <c r="AD47" s="36"/>
      <c r="AE47" s="85">
        <v>43643</v>
      </c>
      <c r="AF47" s="80" t="s">
        <v>528</v>
      </c>
      <c r="AG47" s="81" t="s">
        <v>392</v>
      </c>
      <c r="AH47" s="81" t="s">
        <v>453</v>
      </c>
      <c r="AI47" s="81" t="s">
        <v>354</v>
      </c>
      <c r="AJ47" s="81" t="s">
        <v>394</v>
      </c>
      <c r="AK47" s="82">
        <v>162125000</v>
      </c>
      <c r="AL47" s="38"/>
      <c r="AM47" s="67">
        <f t="shared" si="4"/>
        <v>162125000</v>
      </c>
      <c r="AN47" s="82">
        <v>162125000</v>
      </c>
      <c r="AO47" s="82">
        <v>162125000</v>
      </c>
      <c r="AP47" s="84">
        <v>43678</v>
      </c>
      <c r="AQ47" s="84">
        <v>43769</v>
      </c>
      <c r="AR47" s="65" t="s">
        <v>226</v>
      </c>
      <c r="AS47" s="70">
        <f>11881719+52515200+39890000+5790800+1327000+28824600+21895681</f>
        <v>162125000</v>
      </c>
      <c r="AT47" s="66">
        <f>+AM47-AS47</f>
        <v>0</v>
      </c>
      <c r="AU47" s="65" t="s">
        <v>153</v>
      </c>
    </row>
    <row r="48" spans="1:47" s="14" customFormat="1" ht="87.75" customHeight="1" x14ac:dyDescent="0.25">
      <c r="A48" s="73">
        <v>49</v>
      </c>
      <c r="B48" s="65" t="s">
        <v>15</v>
      </c>
      <c r="C48" s="73">
        <v>38</v>
      </c>
      <c r="D48" s="73" t="s">
        <v>163</v>
      </c>
      <c r="E48" s="73" t="s">
        <v>67</v>
      </c>
      <c r="F48" s="73" t="s">
        <v>197</v>
      </c>
      <c r="G48" s="56" t="s">
        <v>15</v>
      </c>
      <c r="H48" s="56" t="s">
        <v>372</v>
      </c>
      <c r="I48" s="83" t="s">
        <v>529</v>
      </c>
      <c r="J48" s="82">
        <v>7332100</v>
      </c>
      <c r="K48" s="38"/>
      <c r="L48" s="67">
        <v>7332100</v>
      </c>
      <c r="M48" s="70"/>
      <c r="N48" s="67">
        <v>7332100</v>
      </c>
      <c r="O48" s="37"/>
      <c r="P48" s="43">
        <v>43637</v>
      </c>
      <c r="Q48" s="43">
        <v>43638</v>
      </c>
      <c r="R48" s="70">
        <v>7332100</v>
      </c>
      <c r="S48" s="82" t="s">
        <v>530</v>
      </c>
      <c r="T48" s="95" t="s">
        <v>245</v>
      </c>
      <c r="U48" s="82" t="s">
        <v>440</v>
      </c>
      <c r="V48" s="95" t="s">
        <v>362</v>
      </c>
      <c r="W48" s="96">
        <v>43637</v>
      </c>
      <c r="X48" s="96">
        <v>43638</v>
      </c>
      <c r="Y48" s="96">
        <v>43678</v>
      </c>
      <c r="Z48" s="93" t="s">
        <v>363</v>
      </c>
      <c r="AA48" s="94" t="s">
        <v>376</v>
      </c>
      <c r="AB48" s="71">
        <f t="shared" si="3"/>
        <v>0</v>
      </c>
      <c r="AC48" s="82" t="s">
        <v>514</v>
      </c>
      <c r="AD48" s="70"/>
      <c r="AE48" s="96">
        <v>43651</v>
      </c>
      <c r="AF48" s="80" t="s">
        <v>529</v>
      </c>
      <c r="AG48" s="81" t="s">
        <v>492</v>
      </c>
      <c r="AH48" s="81" t="s">
        <v>563</v>
      </c>
      <c r="AI48" s="81" t="s">
        <v>354</v>
      </c>
      <c r="AJ48" s="81" t="s">
        <v>515</v>
      </c>
      <c r="AK48" s="82">
        <v>7332100</v>
      </c>
      <c r="AL48" s="82"/>
      <c r="AM48" s="67">
        <f t="shared" si="4"/>
        <v>7332100</v>
      </c>
      <c r="AN48" s="82">
        <v>7332100</v>
      </c>
      <c r="AO48" s="82">
        <v>7332100</v>
      </c>
      <c r="AP48" s="84">
        <v>43678</v>
      </c>
      <c r="AQ48" s="84">
        <v>43769</v>
      </c>
      <c r="AR48" s="65" t="s">
        <v>226</v>
      </c>
      <c r="AS48" s="70">
        <f>3661300+3670800</f>
        <v>7332100</v>
      </c>
      <c r="AT48" s="66">
        <f>7332100-AS48</f>
        <v>0</v>
      </c>
      <c r="AU48" s="65" t="s">
        <v>153</v>
      </c>
    </row>
    <row r="49" spans="1:47" s="127" customFormat="1" ht="86.25" customHeight="1" x14ac:dyDescent="0.25">
      <c r="A49" s="73">
        <v>50</v>
      </c>
      <c r="B49" s="65" t="s">
        <v>15</v>
      </c>
      <c r="C49" s="73">
        <v>38</v>
      </c>
      <c r="D49" s="73" t="s">
        <v>163</v>
      </c>
      <c r="E49" s="73" t="s">
        <v>67</v>
      </c>
      <c r="F49" s="73" t="s">
        <v>197</v>
      </c>
      <c r="G49" s="56" t="s">
        <v>15</v>
      </c>
      <c r="H49" s="56" t="s">
        <v>372</v>
      </c>
      <c r="I49" s="125" t="s">
        <v>567</v>
      </c>
      <c r="J49" s="82">
        <v>86766484.209999993</v>
      </c>
      <c r="K49" s="70"/>
      <c r="L49" s="94">
        <v>86766484.209999993</v>
      </c>
      <c r="M49" s="70"/>
      <c r="N49" s="94">
        <v>86766484.209999993</v>
      </c>
      <c r="O49" s="72"/>
      <c r="P49" s="43">
        <v>43578</v>
      </c>
      <c r="Q49" s="43">
        <v>43578</v>
      </c>
      <c r="R49" s="82">
        <v>86766484.209999993</v>
      </c>
      <c r="S49" s="81" t="s">
        <v>382</v>
      </c>
      <c r="T49" s="65" t="s">
        <v>119</v>
      </c>
      <c r="U49" s="81" t="s">
        <v>568</v>
      </c>
      <c r="V49" s="65" t="s">
        <v>359</v>
      </c>
      <c r="W49" s="84">
        <v>43564</v>
      </c>
      <c r="X49" s="84">
        <v>43578</v>
      </c>
      <c r="Y49" s="84">
        <v>43682</v>
      </c>
      <c r="Z49" s="81" t="s">
        <v>363</v>
      </c>
      <c r="AA49" s="94" t="s">
        <v>376</v>
      </c>
      <c r="AB49" s="71">
        <f t="shared" si="3"/>
        <v>0</v>
      </c>
      <c r="AC49" s="81" t="s">
        <v>569</v>
      </c>
      <c r="AD49" s="81"/>
      <c r="AE49" s="85">
        <v>43685</v>
      </c>
      <c r="AF49" s="125" t="s">
        <v>567</v>
      </c>
      <c r="AG49" s="81" t="s">
        <v>570</v>
      </c>
      <c r="AH49" s="81" t="s">
        <v>571</v>
      </c>
      <c r="AI49" s="81" t="s">
        <v>354</v>
      </c>
      <c r="AJ49" s="81" t="s">
        <v>572</v>
      </c>
      <c r="AK49" s="82">
        <v>86766484.209999993</v>
      </c>
      <c r="AL49" s="70"/>
      <c r="AM49" s="67">
        <f t="shared" si="4"/>
        <v>86766484.209999993</v>
      </c>
      <c r="AN49" s="128">
        <v>86766484.209999993</v>
      </c>
      <c r="AO49" s="128">
        <v>86766484.209999993</v>
      </c>
      <c r="AP49" s="84">
        <v>43691</v>
      </c>
      <c r="AQ49" s="84">
        <v>43751</v>
      </c>
      <c r="AR49" s="65" t="s">
        <v>226</v>
      </c>
      <c r="AS49" s="70">
        <v>86766484.209999993</v>
      </c>
      <c r="AT49" s="66" t="s">
        <v>564</v>
      </c>
      <c r="AU49" s="65" t="s">
        <v>153</v>
      </c>
    </row>
    <row r="50" spans="1:47" s="14" customFormat="1" ht="125.25" customHeight="1" x14ac:dyDescent="0.25">
      <c r="A50" s="73">
        <v>51</v>
      </c>
      <c r="B50" s="46" t="s">
        <v>15</v>
      </c>
      <c r="C50" s="28">
        <f>IFERROR(VLOOKUP(B50,UNIDADES!$A:$F,2,FALSE)," ")</f>
        <v>38</v>
      </c>
      <c r="D50" s="28" t="str">
        <f>IFERROR(VLOOKUP(B50,UNIDADES!$A:$F,4,FALSE)," ")</f>
        <v>REGIÓN 1</v>
      </c>
      <c r="E50" s="28" t="str">
        <f>IFERROR(VLOOKUP(B50,UNIDADES!$A:$F,5,FALSE)," ")</f>
        <v>DEPARTAMENTO DE POLICÍA SAN ANDRÉS Y PROVIDENCIA</v>
      </c>
      <c r="F50" s="28" t="str">
        <f>IFERROR(VLOOKUP(B50,UNIDADES!$A:$F,6,FALSE)," ")</f>
        <v>800141053-7</v>
      </c>
      <c r="G50" s="36" t="s">
        <v>15</v>
      </c>
      <c r="H50" s="36" t="s">
        <v>578</v>
      </c>
      <c r="I50" s="130" t="s">
        <v>584</v>
      </c>
      <c r="J50" s="129">
        <v>314602681</v>
      </c>
      <c r="K50" s="38"/>
      <c r="L50" s="67">
        <f t="shared" si="0"/>
        <v>314602681</v>
      </c>
      <c r="M50" s="70"/>
      <c r="N50" s="67">
        <f t="shared" si="1"/>
        <v>314602681</v>
      </c>
      <c r="O50" s="37"/>
      <c r="P50" s="43">
        <v>43709</v>
      </c>
      <c r="Q50" s="43">
        <v>43718</v>
      </c>
      <c r="R50" s="38">
        <v>314602681</v>
      </c>
      <c r="S50" s="81" t="s">
        <v>579</v>
      </c>
      <c r="T50" s="65" t="s">
        <v>119</v>
      </c>
      <c r="U50" s="36" t="s">
        <v>580</v>
      </c>
      <c r="V50" s="65" t="s">
        <v>364</v>
      </c>
      <c r="W50" s="47">
        <v>43709</v>
      </c>
      <c r="X50" s="47">
        <v>43718</v>
      </c>
      <c r="Y50" s="47">
        <v>43763</v>
      </c>
      <c r="Z50" s="36" t="s">
        <v>581</v>
      </c>
      <c r="AA50" s="32" t="s">
        <v>376</v>
      </c>
      <c r="AB50" s="71">
        <f t="shared" si="3"/>
        <v>0</v>
      </c>
      <c r="AC50" s="36" t="s">
        <v>582</v>
      </c>
      <c r="AD50" s="36"/>
      <c r="AE50" s="85">
        <v>43770</v>
      </c>
      <c r="AF50" s="52" t="s">
        <v>584</v>
      </c>
      <c r="AG50" s="81" t="s">
        <v>379</v>
      </c>
      <c r="AH50" s="81" t="s">
        <v>583</v>
      </c>
      <c r="AI50" s="81" t="s">
        <v>354</v>
      </c>
      <c r="AJ50" s="81" t="s">
        <v>381</v>
      </c>
      <c r="AK50" s="70">
        <v>314602681</v>
      </c>
      <c r="AL50" s="70"/>
      <c r="AM50" s="67">
        <f t="shared" si="4"/>
        <v>314602681</v>
      </c>
      <c r="AN50" s="70">
        <v>314602681</v>
      </c>
      <c r="AO50" s="70">
        <v>314602681</v>
      </c>
      <c r="AP50" s="84">
        <v>43770</v>
      </c>
      <c r="AQ50" s="84">
        <v>44043</v>
      </c>
      <c r="AR50" s="65" t="s">
        <v>226</v>
      </c>
      <c r="AS50" s="70">
        <f>38835978.29+37164021.71+2102681</f>
        <v>78102681</v>
      </c>
      <c r="AT50" s="66">
        <v>236500000</v>
      </c>
      <c r="AU50" s="46" t="s">
        <v>151</v>
      </c>
    </row>
    <row r="51" spans="1:47" s="14" customFormat="1" ht="150" x14ac:dyDescent="0.25">
      <c r="A51" s="73">
        <v>52</v>
      </c>
      <c r="B51" s="46" t="s">
        <v>15</v>
      </c>
      <c r="C51" s="28">
        <f>IFERROR(VLOOKUP(B51,UNIDADES!$A:$F,2,FALSE)," ")</f>
        <v>38</v>
      </c>
      <c r="D51" s="28" t="str">
        <f>IFERROR(VLOOKUP(B51,UNIDADES!$A:$F,4,FALSE)," ")</f>
        <v>REGIÓN 1</v>
      </c>
      <c r="E51" s="28" t="str">
        <f>IFERROR(VLOOKUP(B51,UNIDADES!$A:$F,5,FALSE)," ")</f>
        <v>DEPARTAMENTO DE POLICÍA SAN ANDRÉS Y PROVIDENCIA</v>
      </c>
      <c r="F51" s="28" t="str">
        <f>IFERROR(VLOOKUP(B51,UNIDADES!$A:$F,6,FALSE)," ")</f>
        <v>800141053-7</v>
      </c>
      <c r="G51" s="36" t="s">
        <v>15</v>
      </c>
      <c r="H51" s="36" t="s">
        <v>372</v>
      </c>
      <c r="I51" s="132" t="s">
        <v>622</v>
      </c>
      <c r="J51" s="82">
        <v>6900000</v>
      </c>
      <c r="K51" s="38"/>
      <c r="L51" s="67">
        <f t="shared" si="0"/>
        <v>6900000</v>
      </c>
      <c r="M51" s="70"/>
      <c r="N51" s="67">
        <f t="shared" si="1"/>
        <v>6900000</v>
      </c>
      <c r="O51" s="37"/>
      <c r="P51" s="43">
        <v>43769</v>
      </c>
      <c r="Q51" s="43">
        <v>43769</v>
      </c>
      <c r="R51" s="82">
        <v>6900000</v>
      </c>
      <c r="S51" s="81" t="s">
        <v>621</v>
      </c>
      <c r="T51" s="65" t="s">
        <v>245</v>
      </c>
      <c r="U51" s="81" t="s">
        <v>580</v>
      </c>
      <c r="V51" s="65" t="s">
        <v>365</v>
      </c>
      <c r="W51" s="47">
        <v>43769</v>
      </c>
      <c r="X51" s="47">
        <v>43771</v>
      </c>
      <c r="Y51" s="47">
        <v>43776</v>
      </c>
      <c r="Z51" s="36" t="s">
        <v>366</v>
      </c>
      <c r="AA51" s="32" t="s">
        <v>376</v>
      </c>
      <c r="AB51" s="71">
        <f t="shared" si="3"/>
        <v>0</v>
      </c>
      <c r="AC51" s="36" t="s">
        <v>582</v>
      </c>
      <c r="AD51" s="36"/>
      <c r="AE51" s="85">
        <v>43776</v>
      </c>
      <c r="AF51" s="80" t="s">
        <v>622</v>
      </c>
      <c r="AG51" s="81" t="s">
        <v>379</v>
      </c>
      <c r="AH51" s="81" t="s">
        <v>583</v>
      </c>
      <c r="AI51" s="81" t="s">
        <v>354</v>
      </c>
      <c r="AJ51" s="81" t="s">
        <v>381</v>
      </c>
      <c r="AK51" s="38">
        <v>6900000</v>
      </c>
      <c r="AL51" s="38"/>
      <c r="AM51" s="67">
        <f t="shared" si="4"/>
        <v>6900000</v>
      </c>
      <c r="AN51" s="38">
        <v>6900000</v>
      </c>
      <c r="AO51" s="38">
        <v>6900000</v>
      </c>
      <c r="AP51" s="47">
        <v>43776</v>
      </c>
      <c r="AQ51" s="47">
        <v>43830</v>
      </c>
      <c r="AR51" s="46" t="s">
        <v>226</v>
      </c>
      <c r="AS51" s="38">
        <f>1003208+396720+899970+1181657.15+3418444.85</f>
        <v>6900000</v>
      </c>
      <c r="AT51" s="38" t="s">
        <v>668</v>
      </c>
      <c r="AU51" s="46" t="s">
        <v>153</v>
      </c>
    </row>
    <row r="52" spans="1:47" s="14" customFormat="1" ht="135" x14ac:dyDescent="0.25">
      <c r="A52" s="73">
        <v>53</v>
      </c>
      <c r="B52" s="46" t="s">
        <v>15</v>
      </c>
      <c r="C52" s="28">
        <f>IFERROR(VLOOKUP(B52,UNIDADES!$A:$F,2,FALSE)," ")</f>
        <v>38</v>
      </c>
      <c r="D52" s="28" t="str">
        <f>IFERROR(VLOOKUP(B52,UNIDADES!$A:$F,4,FALSE)," ")</f>
        <v>REGIÓN 1</v>
      </c>
      <c r="E52" s="28" t="str">
        <f>IFERROR(VLOOKUP(B52,UNIDADES!$A:$F,5,FALSE)," ")</f>
        <v>DEPARTAMENTO DE POLICÍA SAN ANDRÉS Y PROVIDENCIA</v>
      </c>
      <c r="F52" s="28" t="str">
        <f>IFERROR(VLOOKUP(B52,UNIDADES!$A:$F,6,FALSE)," ")</f>
        <v>800141053-7</v>
      </c>
      <c r="G52" s="36" t="s">
        <v>15</v>
      </c>
      <c r="H52" s="36" t="s">
        <v>372</v>
      </c>
      <c r="I52" s="80" t="s">
        <v>623</v>
      </c>
      <c r="J52" s="82">
        <v>498504602.16000003</v>
      </c>
      <c r="K52" s="38"/>
      <c r="L52" s="67">
        <f t="shared" si="0"/>
        <v>498504602.16000003</v>
      </c>
      <c r="M52" s="70"/>
      <c r="N52" s="67">
        <f t="shared" si="1"/>
        <v>498504602.16000003</v>
      </c>
      <c r="O52" s="37"/>
      <c r="P52" s="43">
        <v>43713</v>
      </c>
      <c r="Q52" s="43">
        <v>43713</v>
      </c>
      <c r="R52" s="38">
        <v>498504602.16000003</v>
      </c>
      <c r="S52" s="36" t="s">
        <v>624</v>
      </c>
      <c r="T52" s="65" t="s">
        <v>119</v>
      </c>
      <c r="U52" s="81" t="s">
        <v>625</v>
      </c>
      <c r="V52" s="65" t="s">
        <v>364</v>
      </c>
      <c r="W52" s="47">
        <v>43717</v>
      </c>
      <c r="X52" s="47">
        <v>43726</v>
      </c>
      <c r="Y52" s="47">
        <v>43716</v>
      </c>
      <c r="Z52" s="36" t="s">
        <v>366</v>
      </c>
      <c r="AA52" s="32" t="s">
        <v>376</v>
      </c>
      <c r="AB52" s="71">
        <f t="shared" si="3"/>
        <v>0</v>
      </c>
      <c r="AC52" s="36" t="s">
        <v>626</v>
      </c>
      <c r="AD52" s="36"/>
      <c r="AE52" s="85">
        <v>43769</v>
      </c>
      <c r="AF52" s="80" t="s">
        <v>623</v>
      </c>
      <c r="AG52" s="81" t="s">
        <v>392</v>
      </c>
      <c r="AH52" s="104" t="s">
        <v>453</v>
      </c>
      <c r="AI52" s="81" t="s">
        <v>354</v>
      </c>
      <c r="AJ52" s="81" t="s">
        <v>394</v>
      </c>
      <c r="AK52" s="38">
        <v>498504602.16000003</v>
      </c>
      <c r="AL52" s="38"/>
      <c r="AM52" s="67">
        <f t="shared" si="4"/>
        <v>498504602.16000003</v>
      </c>
      <c r="AN52" s="38">
        <v>498504602.16000003</v>
      </c>
      <c r="AO52" s="38">
        <v>498504602.16000003</v>
      </c>
      <c r="AP52" s="47">
        <v>43777</v>
      </c>
      <c r="AQ52" s="47">
        <v>44043</v>
      </c>
      <c r="AR52" s="46" t="s">
        <v>226</v>
      </c>
      <c r="AS52" s="38">
        <f>59700279+41899803+5884944.16+46768856+43521784+6828936</f>
        <v>204604602.16</v>
      </c>
      <c r="AT52" s="33">
        <f t="shared" si="6"/>
        <v>293900000</v>
      </c>
      <c r="AU52" s="46" t="s">
        <v>151</v>
      </c>
    </row>
    <row r="53" spans="1:47" s="14" customFormat="1" ht="165" x14ac:dyDescent="0.25">
      <c r="A53" s="73">
        <v>54</v>
      </c>
      <c r="B53" s="46" t="s">
        <v>15</v>
      </c>
      <c r="C53" s="28">
        <f>IFERROR(VLOOKUP(B53,UNIDADES!$A:$F,2,FALSE)," ")</f>
        <v>38</v>
      </c>
      <c r="D53" s="28" t="str">
        <f>IFERROR(VLOOKUP(B53,UNIDADES!$A:$F,4,FALSE)," ")</f>
        <v>REGIÓN 1</v>
      </c>
      <c r="E53" s="28" t="str">
        <f>IFERROR(VLOOKUP(B53,UNIDADES!$A:$F,5,FALSE)," ")</f>
        <v>DEPARTAMENTO DE POLICÍA SAN ANDRÉS Y PROVIDENCIA</v>
      </c>
      <c r="F53" s="28" t="str">
        <f>IFERROR(VLOOKUP(B53,UNIDADES!$A:$F,6,FALSE)," ")</f>
        <v>800141053-7</v>
      </c>
      <c r="G53" s="36" t="s">
        <v>15</v>
      </c>
      <c r="H53" s="36" t="s">
        <v>372</v>
      </c>
      <c r="I53" s="80" t="s">
        <v>627</v>
      </c>
      <c r="J53" s="38">
        <v>23789933</v>
      </c>
      <c r="K53" s="38"/>
      <c r="L53" s="67">
        <f t="shared" si="0"/>
        <v>23789933</v>
      </c>
      <c r="M53" s="70"/>
      <c r="N53" s="67">
        <f t="shared" si="1"/>
        <v>23789933</v>
      </c>
      <c r="O53" s="37"/>
      <c r="P53" s="43">
        <v>43782</v>
      </c>
      <c r="Q53" s="43">
        <v>43783</v>
      </c>
      <c r="R53" s="38">
        <v>23789933</v>
      </c>
      <c r="S53" s="36" t="s">
        <v>621</v>
      </c>
      <c r="T53" s="65" t="s">
        <v>245</v>
      </c>
      <c r="U53" s="81" t="s">
        <v>625</v>
      </c>
      <c r="V53" s="65" t="s">
        <v>366</v>
      </c>
      <c r="W53" s="47">
        <v>43782</v>
      </c>
      <c r="X53" s="47">
        <v>43783</v>
      </c>
      <c r="Y53" s="47">
        <v>43783</v>
      </c>
      <c r="Z53" s="36" t="s">
        <v>366</v>
      </c>
      <c r="AA53" s="32" t="s">
        <v>376</v>
      </c>
      <c r="AB53" s="71">
        <f t="shared" si="3"/>
        <v>0</v>
      </c>
      <c r="AC53" s="36" t="s">
        <v>626</v>
      </c>
      <c r="AD53" s="36"/>
      <c r="AE53" s="85">
        <v>43783</v>
      </c>
      <c r="AF53" s="80" t="s">
        <v>627</v>
      </c>
      <c r="AG53" s="81" t="s">
        <v>392</v>
      </c>
      <c r="AH53" s="104" t="s">
        <v>453</v>
      </c>
      <c r="AI53" s="81" t="s">
        <v>354</v>
      </c>
      <c r="AJ53" s="81" t="s">
        <v>394</v>
      </c>
      <c r="AK53" s="38">
        <v>23789933</v>
      </c>
      <c r="AL53" s="38"/>
      <c r="AM53" s="67">
        <f t="shared" si="4"/>
        <v>23789933</v>
      </c>
      <c r="AN53" s="38">
        <v>23789933</v>
      </c>
      <c r="AO53" s="38">
        <v>23789933</v>
      </c>
      <c r="AP53" s="47">
        <v>43784</v>
      </c>
      <c r="AQ53" s="47">
        <v>43830</v>
      </c>
      <c r="AR53" s="46" t="s">
        <v>226</v>
      </c>
      <c r="AS53" s="38">
        <f>2125000+4500000+8100197+6664933+2399803</f>
        <v>23789933</v>
      </c>
      <c r="AT53" s="33">
        <f t="shared" si="6"/>
        <v>0</v>
      </c>
      <c r="AU53" s="46" t="s">
        <v>153</v>
      </c>
    </row>
    <row r="54" spans="1:47" s="14" customFormat="1" ht="90" x14ac:dyDescent="0.25">
      <c r="A54" s="73">
        <v>55</v>
      </c>
      <c r="B54" s="46" t="s">
        <v>15</v>
      </c>
      <c r="C54" s="28">
        <f>IFERROR(VLOOKUP(B54,UNIDADES!$A:$F,2,FALSE)," ")</f>
        <v>38</v>
      </c>
      <c r="D54" s="28" t="str">
        <f>IFERROR(VLOOKUP(B54,UNIDADES!$A:$F,4,FALSE)," ")</f>
        <v>REGIÓN 1</v>
      </c>
      <c r="E54" s="28" t="str">
        <f>IFERROR(VLOOKUP(B54,UNIDADES!$A:$F,5,FALSE)," ")</f>
        <v>DEPARTAMENTO DE POLICÍA SAN ANDRÉS Y PROVIDENCIA</v>
      </c>
      <c r="F54" s="28" t="str">
        <f>IFERROR(VLOOKUP(B54,UNIDADES!$A:$F,6,FALSE)," ")</f>
        <v>800141053-7</v>
      </c>
      <c r="G54" s="36" t="s">
        <v>15</v>
      </c>
      <c r="H54" s="36" t="s">
        <v>372</v>
      </c>
      <c r="I54" s="80" t="s">
        <v>585</v>
      </c>
      <c r="J54" s="38" t="s">
        <v>586</v>
      </c>
      <c r="K54" s="38"/>
      <c r="L54" s="67">
        <v>31488889</v>
      </c>
      <c r="M54" s="70"/>
      <c r="N54" s="67">
        <v>31488889</v>
      </c>
      <c r="O54" s="37"/>
      <c r="P54" s="43">
        <v>43753</v>
      </c>
      <c r="Q54" s="43">
        <v>43753</v>
      </c>
      <c r="R54" s="38" t="s">
        <v>587</v>
      </c>
      <c r="S54" s="81" t="s">
        <v>382</v>
      </c>
      <c r="T54" s="65" t="s">
        <v>143</v>
      </c>
      <c r="U54" s="81" t="s">
        <v>588</v>
      </c>
      <c r="V54" s="65" t="s">
        <v>365</v>
      </c>
      <c r="W54" s="47">
        <v>43747</v>
      </c>
      <c r="X54" s="47">
        <v>43750</v>
      </c>
      <c r="Y54" s="47">
        <v>43764</v>
      </c>
      <c r="Z54" s="36" t="s">
        <v>365</v>
      </c>
      <c r="AA54" s="32" t="s">
        <v>376</v>
      </c>
      <c r="AB54" s="71">
        <f t="shared" si="3"/>
        <v>0</v>
      </c>
      <c r="AC54" s="36" t="s">
        <v>589</v>
      </c>
      <c r="AD54" s="36"/>
      <c r="AE54" s="85">
        <v>43764</v>
      </c>
      <c r="AF54" s="80" t="s">
        <v>585</v>
      </c>
      <c r="AG54" s="131">
        <v>40985765</v>
      </c>
      <c r="AH54" s="81" t="s">
        <v>590</v>
      </c>
      <c r="AI54" s="81" t="s">
        <v>354</v>
      </c>
      <c r="AJ54" s="81" t="s">
        <v>462</v>
      </c>
      <c r="AK54" s="82" t="s">
        <v>599</v>
      </c>
      <c r="AL54" s="38"/>
      <c r="AM54" s="67">
        <f t="shared" si="4"/>
        <v>31488889</v>
      </c>
      <c r="AN54" s="128" t="s">
        <v>591</v>
      </c>
      <c r="AO54" s="128" t="s">
        <v>591</v>
      </c>
      <c r="AP54" s="84">
        <v>43764</v>
      </c>
      <c r="AQ54" s="84">
        <v>43774</v>
      </c>
      <c r="AR54" s="65" t="s">
        <v>226</v>
      </c>
      <c r="AS54" s="128" t="s">
        <v>591</v>
      </c>
      <c r="AT54" s="33" t="s">
        <v>669</v>
      </c>
      <c r="AU54" s="65" t="s">
        <v>153</v>
      </c>
    </row>
    <row r="55" spans="1:47" s="14" customFormat="1" ht="75" x14ac:dyDescent="0.25">
      <c r="A55" s="73">
        <v>56</v>
      </c>
      <c r="B55" s="46" t="s">
        <v>15</v>
      </c>
      <c r="C55" s="28">
        <f>IFERROR(VLOOKUP(B55,UNIDADES!$A:$F,2,FALSE)," ")</f>
        <v>38</v>
      </c>
      <c r="D55" s="28" t="str">
        <f>IFERROR(VLOOKUP(B55,UNIDADES!$A:$F,4,FALSE)," ")</f>
        <v>REGIÓN 1</v>
      </c>
      <c r="E55" s="28" t="str">
        <f>IFERROR(VLOOKUP(B55,UNIDADES!$A:$F,5,FALSE)," ")</f>
        <v>DEPARTAMENTO DE POLICÍA SAN ANDRÉS Y PROVIDENCIA</v>
      </c>
      <c r="F55" s="28" t="str">
        <f>IFERROR(VLOOKUP(B55,UNIDADES!$A:$F,6,FALSE)," ")</f>
        <v>800141053-7</v>
      </c>
      <c r="G55" s="36" t="s">
        <v>15</v>
      </c>
      <c r="H55" s="36" t="s">
        <v>372</v>
      </c>
      <c r="I55" s="80" t="s">
        <v>592</v>
      </c>
      <c r="J55" s="38" t="s">
        <v>593</v>
      </c>
      <c r="K55" s="38"/>
      <c r="L55" s="67">
        <v>148202100</v>
      </c>
      <c r="M55" s="70"/>
      <c r="N55" s="67">
        <f t="shared" si="1"/>
        <v>148202100</v>
      </c>
      <c r="O55" s="37"/>
      <c r="P55" s="43">
        <v>43770</v>
      </c>
      <c r="Q55" s="43">
        <v>43770</v>
      </c>
      <c r="R55" s="38" t="s">
        <v>594</v>
      </c>
      <c r="S55" s="36" t="s">
        <v>595</v>
      </c>
      <c r="T55" s="46" t="s">
        <v>120</v>
      </c>
      <c r="U55" s="36">
        <v>42213</v>
      </c>
      <c r="V55" s="46" t="s">
        <v>366</v>
      </c>
      <c r="W55" s="47">
        <v>43770</v>
      </c>
      <c r="X55" s="47">
        <v>43774</v>
      </c>
      <c r="Y55" s="47">
        <v>43782</v>
      </c>
      <c r="Z55" s="36" t="s">
        <v>366</v>
      </c>
      <c r="AA55" s="32" t="s">
        <v>376</v>
      </c>
      <c r="AB55" s="71">
        <f t="shared" si="3"/>
        <v>0</v>
      </c>
      <c r="AC55" s="36">
        <v>42213</v>
      </c>
      <c r="AD55" s="36"/>
      <c r="AE55" s="85">
        <v>43782</v>
      </c>
      <c r="AF55" s="80" t="s">
        <v>592</v>
      </c>
      <c r="AG55" s="81" t="s">
        <v>596</v>
      </c>
      <c r="AH55" s="81" t="s">
        <v>597</v>
      </c>
      <c r="AI55" s="81" t="s">
        <v>354</v>
      </c>
      <c r="AJ55" s="81" t="s">
        <v>598</v>
      </c>
      <c r="AK55" s="82" t="s">
        <v>594</v>
      </c>
      <c r="AL55" s="38"/>
      <c r="AM55" s="67">
        <f t="shared" si="4"/>
        <v>148202100</v>
      </c>
      <c r="AN55" s="82" t="s">
        <v>594</v>
      </c>
      <c r="AO55" s="82" t="s">
        <v>594</v>
      </c>
      <c r="AP55" s="84">
        <v>43782</v>
      </c>
      <c r="AQ55" s="84">
        <v>43829</v>
      </c>
      <c r="AR55" s="46" t="s">
        <v>237</v>
      </c>
      <c r="AS55" s="38">
        <v>148202100</v>
      </c>
      <c r="AT55" s="33">
        <f t="shared" si="6"/>
        <v>0</v>
      </c>
      <c r="AU55" s="65" t="s">
        <v>153</v>
      </c>
    </row>
    <row r="56" spans="1:47" s="14" customFormat="1" ht="75" x14ac:dyDescent="0.25">
      <c r="A56" s="73">
        <v>57</v>
      </c>
      <c r="B56" s="46" t="s">
        <v>15</v>
      </c>
      <c r="C56" s="28">
        <f>IFERROR(VLOOKUP(B56,UNIDADES!$A:$F,2,FALSE)," ")</f>
        <v>38</v>
      </c>
      <c r="D56" s="28" t="str">
        <f>IFERROR(VLOOKUP(B56,UNIDADES!$A:$F,4,FALSE)," ")</f>
        <v>REGIÓN 1</v>
      </c>
      <c r="E56" s="28" t="str">
        <f>IFERROR(VLOOKUP(B56,UNIDADES!$A:$F,5,FALSE)," ")</f>
        <v>DEPARTAMENTO DE POLICÍA SAN ANDRÉS Y PROVIDENCIA</v>
      </c>
      <c r="F56" s="28" t="str">
        <f>IFERROR(VLOOKUP(B56,UNIDADES!$A:$F,6,FALSE)," ")</f>
        <v>800141053-7</v>
      </c>
      <c r="G56" s="36" t="s">
        <v>15</v>
      </c>
      <c r="H56" s="36" t="s">
        <v>372</v>
      </c>
      <c r="I56" s="80" t="s">
        <v>600</v>
      </c>
      <c r="J56" s="38">
        <v>66191382</v>
      </c>
      <c r="K56" s="38"/>
      <c r="L56" s="67">
        <f t="shared" si="0"/>
        <v>66191382</v>
      </c>
      <c r="M56" s="70"/>
      <c r="N56" s="67">
        <f t="shared" si="1"/>
        <v>66191382</v>
      </c>
      <c r="O56" s="37"/>
      <c r="P56" s="43">
        <v>43766</v>
      </c>
      <c r="Q56" s="43">
        <v>43766</v>
      </c>
      <c r="R56" s="38">
        <v>66191382</v>
      </c>
      <c r="S56" s="36" t="s">
        <v>595</v>
      </c>
      <c r="T56" s="46" t="s">
        <v>143</v>
      </c>
      <c r="U56" s="36" t="s">
        <v>601</v>
      </c>
      <c r="V56" s="46" t="s">
        <v>365</v>
      </c>
      <c r="W56" s="47">
        <v>43766</v>
      </c>
      <c r="X56" s="47">
        <v>43770</v>
      </c>
      <c r="Y56" s="47">
        <v>43784</v>
      </c>
      <c r="Z56" s="36" t="s">
        <v>366</v>
      </c>
      <c r="AA56" s="32" t="s">
        <v>376</v>
      </c>
      <c r="AB56" s="71">
        <f t="shared" si="3"/>
        <v>0</v>
      </c>
      <c r="AC56" s="36" t="s">
        <v>602</v>
      </c>
      <c r="AD56" s="36"/>
      <c r="AE56" s="85">
        <v>43784</v>
      </c>
      <c r="AF56" s="80" t="s">
        <v>600</v>
      </c>
      <c r="AG56" s="81" t="s">
        <v>605</v>
      </c>
      <c r="AH56" s="81" t="s">
        <v>603</v>
      </c>
      <c r="AI56" s="81" t="s">
        <v>354</v>
      </c>
      <c r="AJ56" s="81" t="s">
        <v>604</v>
      </c>
      <c r="AK56" s="38">
        <v>66191382</v>
      </c>
      <c r="AL56" s="38"/>
      <c r="AM56" s="67">
        <f t="shared" si="4"/>
        <v>66191382</v>
      </c>
      <c r="AN56" s="38">
        <v>66191382</v>
      </c>
      <c r="AO56" s="38">
        <v>66191382</v>
      </c>
      <c r="AP56" s="47">
        <v>43784</v>
      </c>
      <c r="AQ56" s="47">
        <v>43829</v>
      </c>
      <c r="AR56" s="46" t="s">
        <v>237</v>
      </c>
      <c r="AS56" s="38">
        <v>66191382</v>
      </c>
      <c r="AT56" s="33">
        <f t="shared" si="6"/>
        <v>0</v>
      </c>
      <c r="AU56" s="46" t="s">
        <v>153</v>
      </c>
    </row>
    <row r="57" spans="1:47" s="14" customFormat="1" ht="75" x14ac:dyDescent="0.25">
      <c r="A57" s="73">
        <v>58</v>
      </c>
      <c r="B57" s="46" t="s">
        <v>15</v>
      </c>
      <c r="C57" s="28">
        <f>IFERROR(VLOOKUP(B57,UNIDADES!$A:$F,2,FALSE)," ")</f>
        <v>38</v>
      </c>
      <c r="D57" s="28" t="str">
        <f>IFERROR(VLOOKUP(B57,UNIDADES!$A:$F,4,FALSE)," ")</f>
        <v>REGIÓN 1</v>
      </c>
      <c r="E57" s="28" t="str">
        <f>IFERROR(VLOOKUP(B57,UNIDADES!$A:$F,5,FALSE)," ")</f>
        <v>DEPARTAMENTO DE POLICÍA SAN ANDRÉS Y PROVIDENCIA</v>
      </c>
      <c r="F57" s="28" t="str">
        <f>IFERROR(VLOOKUP(B57,UNIDADES!$A:$F,6,FALSE)," ")</f>
        <v>800141053-7</v>
      </c>
      <c r="G57" s="36" t="s">
        <v>15</v>
      </c>
      <c r="H57" s="36" t="s">
        <v>372</v>
      </c>
      <c r="I57" s="80" t="s">
        <v>606</v>
      </c>
      <c r="J57" s="38">
        <v>5282041</v>
      </c>
      <c r="K57" s="38"/>
      <c r="L57" s="67">
        <f t="shared" si="0"/>
        <v>5282041</v>
      </c>
      <c r="M57" s="70"/>
      <c r="N57" s="67">
        <f t="shared" si="1"/>
        <v>5282041</v>
      </c>
      <c r="O57" s="37"/>
      <c r="P57" s="43">
        <v>43762</v>
      </c>
      <c r="Q57" s="43">
        <v>43762</v>
      </c>
      <c r="R57" s="38">
        <v>5282041</v>
      </c>
      <c r="S57" s="36" t="s">
        <v>607</v>
      </c>
      <c r="T57" s="46" t="s">
        <v>143</v>
      </c>
      <c r="U57" s="36" t="s">
        <v>608</v>
      </c>
      <c r="V57" s="46" t="s">
        <v>365</v>
      </c>
      <c r="W57" s="47">
        <v>43762</v>
      </c>
      <c r="X57" s="47">
        <v>43774</v>
      </c>
      <c r="Y57" s="47">
        <v>43782</v>
      </c>
      <c r="Z57" s="36" t="s">
        <v>366</v>
      </c>
      <c r="AA57" s="32" t="s">
        <v>376</v>
      </c>
      <c r="AB57" s="71">
        <f t="shared" si="3"/>
        <v>0</v>
      </c>
      <c r="AC57" s="36" t="s">
        <v>609</v>
      </c>
      <c r="AD57" s="36"/>
      <c r="AE57" s="85">
        <v>43782</v>
      </c>
      <c r="AF57" s="125" t="s">
        <v>606</v>
      </c>
      <c r="AG57" s="81" t="s">
        <v>540</v>
      </c>
      <c r="AH57" s="81" t="s">
        <v>610</v>
      </c>
      <c r="AI57" s="81" t="s">
        <v>354</v>
      </c>
      <c r="AJ57" s="81" t="s">
        <v>542</v>
      </c>
      <c r="AK57" s="38">
        <v>5282041</v>
      </c>
      <c r="AL57" s="38"/>
      <c r="AM57" s="67">
        <f t="shared" si="4"/>
        <v>5282041</v>
      </c>
      <c r="AN57" s="38">
        <v>5282041</v>
      </c>
      <c r="AO57" s="38">
        <v>5282041</v>
      </c>
      <c r="AP57" s="47">
        <v>43784</v>
      </c>
      <c r="AQ57" s="47">
        <v>43814</v>
      </c>
      <c r="AR57" s="46" t="s">
        <v>237</v>
      </c>
      <c r="AS57" s="38">
        <f>5282041</f>
        <v>5282041</v>
      </c>
      <c r="AT57" s="33">
        <f t="shared" si="6"/>
        <v>0</v>
      </c>
      <c r="AU57" s="46" t="s">
        <v>153</v>
      </c>
    </row>
    <row r="58" spans="1:47" s="14" customFormat="1" ht="45" x14ac:dyDescent="0.25">
      <c r="A58" s="73">
        <v>59</v>
      </c>
      <c r="B58" s="46" t="s">
        <v>15</v>
      </c>
      <c r="C58" s="28">
        <f>IFERROR(VLOOKUP(B58,UNIDADES!$A:$F,2,FALSE)," ")</f>
        <v>38</v>
      </c>
      <c r="D58" s="28" t="str">
        <f>IFERROR(VLOOKUP(B58,UNIDADES!$A:$F,4,FALSE)," ")</f>
        <v>REGIÓN 1</v>
      </c>
      <c r="E58" s="28" t="str">
        <f>IFERROR(VLOOKUP(B58,UNIDADES!$A:$F,5,FALSE)," ")</f>
        <v>DEPARTAMENTO DE POLICÍA SAN ANDRÉS Y PROVIDENCIA</v>
      </c>
      <c r="F58" s="28" t="str">
        <f>IFERROR(VLOOKUP(B58,UNIDADES!$A:$F,6,FALSE)," ")</f>
        <v>800141053-7</v>
      </c>
      <c r="G58" s="36" t="s">
        <v>15</v>
      </c>
      <c r="H58" s="36" t="s">
        <v>372</v>
      </c>
      <c r="I58" s="37" t="s">
        <v>611</v>
      </c>
      <c r="J58" s="38">
        <v>49722504</v>
      </c>
      <c r="K58" s="38"/>
      <c r="L58" s="67">
        <f t="shared" si="0"/>
        <v>49722504</v>
      </c>
      <c r="M58" s="70"/>
      <c r="N58" s="67">
        <f t="shared" si="1"/>
        <v>49722504</v>
      </c>
      <c r="O58" s="37"/>
      <c r="P58" s="43">
        <v>43770</v>
      </c>
      <c r="Q58" s="43">
        <v>43770</v>
      </c>
      <c r="R58" s="38">
        <v>49722504</v>
      </c>
      <c r="S58" s="36" t="s">
        <v>421</v>
      </c>
      <c r="T58" s="46" t="s">
        <v>143</v>
      </c>
      <c r="U58" s="36" t="s">
        <v>612</v>
      </c>
      <c r="V58" s="46" t="s">
        <v>366</v>
      </c>
      <c r="W58" s="47">
        <v>43768</v>
      </c>
      <c r="X58" s="47">
        <v>43775</v>
      </c>
      <c r="Y58" s="47">
        <v>43782</v>
      </c>
      <c r="Z58" s="36" t="s">
        <v>366</v>
      </c>
      <c r="AA58" s="32" t="s">
        <v>376</v>
      </c>
      <c r="AB58" s="71">
        <f t="shared" si="3"/>
        <v>0</v>
      </c>
      <c r="AC58" s="36" t="s">
        <v>613</v>
      </c>
      <c r="AD58" s="36"/>
      <c r="AE58" s="85">
        <v>43782</v>
      </c>
      <c r="AF58" s="80" t="s">
        <v>611</v>
      </c>
      <c r="AG58" s="81" t="s">
        <v>511</v>
      </c>
      <c r="AH58" s="81" t="s">
        <v>614</v>
      </c>
      <c r="AI58" s="81" t="s">
        <v>354</v>
      </c>
      <c r="AJ58" s="81" t="s">
        <v>615</v>
      </c>
      <c r="AK58" s="38">
        <v>49722504</v>
      </c>
      <c r="AL58" s="38"/>
      <c r="AM58" s="67">
        <f t="shared" si="4"/>
        <v>49722504</v>
      </c>
      <c r="AN58" s="38">
        <v>49722504</v>
      </c>
      <c r="AO58" s="38">
        <v>49722504</v>
      </c>
      <c r="AP58" s="47">
        <v>43784</v>
      </c>
      <c r="AQ58" s="47">
        <v>43819</v>
      </c>
      <c r="AR58" s="46" t="s">
        <v>237</v>
      </c>
      <c r="AS58" s="38">
        <v>49722504</v>
      </c>
      <c r="AT58" s="33">
        <f t="shared" si="6"/>
        <v>0</v>
      </c>
      <c r="AU58" s="46" t="s">
        <v>153</v>
      </c>
    </row>
    <row r="59" spans="1:47" s="14" customFormat="1" ht="75" x14ac:dyDescent="0.25">
      <c r="A59" s="73">
        <v>60</v>
      </c>
      <c r="B59" s="46" t="s">
        <v>15</v>
      </c>
      <c r="C59" s="28">
        <f>IFERROR(VLOOKUP(B59,UNIDADES!$A:$F,2,FALSE)," ")</f>
        <v>38</v>
      </c>
      <c r="D59" s="28" t="str">
        <f>IFERROR(VLOOKUP(B59,UNIDADES!$A:$F,4,FALSE)," ")</f>
        <v>REGIÓN 1</v>
      </c>
      <c r="E59" s="28" t="str">
        <f>IFERROR(VLOOKUP(B59,UNIDADES!$A:$F,5,FALSE)," ")</f>
        <v>DEPARTAMENTO DE POLICÍA SAN ANDRÉS Y PROVIDENCIA</v>
      </c>
      <c r="F59" s="28" t="str">
        <f>IFERROR(VLOOKUP(B59,UNIDADES!$A:$F,6,FALSE)," ")</f>
        <v>800141053-7</v>
      </c>
      <c r="G59" s="36" t="s">
        <v>15</v>
      </c>
      <c r="H59" s="36" t="s">
        <v>372</v>
      </c>
      <c r="I59" s="80" t="s">
        <v>407</v>
      </c>
      <c r="J59" s="38">
        <v>17949750</v>
      </c>
      <c r="K59" s="38"/>
      <c r="L59" s="67">
        <f t="shared" si="0"/>
        <v>17949750</v>
      </c>
      <c r="M59" s="70"/>
      <c r="N59" s="67">
        <f t="shared" si="1"/>
        <v>17949750</v>
      </c>
      <c r="O59" s="37"/>
      <c r="P59" s="43">
        <v>43768</v>
      </c>
      <c r="Q59" s="43">
        <v>43768</v>
      </c>
      <c r="R59" s="38">
        <v>17949750</v>
      </c>
      <c r="S59" s="36" t="s">
        <v>530</v>
      </c>
      <c r="T59" s="46" t="s">
        <v>143</v>
      </c>
      <c r="U59" s="36" t="s">
        <v>616</v>
      </c>
      <c r="V59" s="46" t="s">
        <v>365</v>
      </c>
      <c r="W59" s="47">
        <v>43768</v>
      </c>
      <c r="X59" s="47">
        <v>43774</v>
      </c>
      <c r="Y59" s="47">
        <v>43787</v>
      </c>
      <c r="Z59" s="36" t="s">
        <v>366</v>
      </c>
      <c r="AA59" s="32" t="s">
        <v>376</v>
      </c>
      <c r="AB59" s="71">
        <f t="shared" si="3"/>
        <v>0</v>
      </c>
      <c r="AC59" s="36" t="s">
        <v>617</v>
      </c>
      <c r="AD59" s="36"/>
      <c r="AE59" s="85">
        <v>43787</v>
      </c>
      <c r="AF59" s="80" t="s">
        <v>407</v>
      </c>
      <c r="AG59" s="81" t="s">
        <v>618</v>
      </c>
      <c r="AH59" s="81" t="s">
        <v>619</v>
      </c>
      <c r="AI59" s="81" t="s">
        <v>354</v>
      </c>
      <c r="AJ59" s="81" t="s">
        <v>620</v>
      </c>
      <c r="AK59" s="38">
        <v>17949750</v>
      </c>
      <c r="AL59" s="38"/>
      <c r="AM59" s="67">
        <f t="shared" si="4"/>
        <v>17949750</v>
      </c>
      <c r="AN59" s="38">
        <v>17949750</v>
      </c>
      <c r="AO59" s="38">
        <v>17949750</v>
      </c>
      <c r="AP59" s="47">
        <v>43784</v>
      </c>
      <c r="AQ59" s="47">
        <v>43829</v>
      </c>
      <c r="AR59" s="46" t="s">
        <v>237</v>
      </c>
      <c r="AS59" s="38">
        <f>5000539.5</f>
        <v>5000539.5</v>
      </c>
      <c r="AT59" s="33">
        <f>17949750-AS59</f>
        <v>12949210.5</v>
      </c>
      <c r="AU59" s="46" t="s">
        <v>151</v>
      </c>
    </row>
    <row r="60" spans="1:47" s="14" customFormat="1" ht="75" x14ac:dyDescent="0.25">
      <c r="A60" s="73">
        <v>61</v>
      </c>
      <c r="B60" s="46" t="s">
        <v>15</v>
      </c>
      <c r="C60" s="28">
        <f>IFERROR(VLOOKUP(B60,UNIDADES!$A:$F,2,FALSE)," ")</f>
        <v>38</v>
      </c>
      <c r="D60" s="28" t="str">
        <f>IFERROR(VLOOKUP(B60,UNIDADES!$A:$F,4,FALSE)," ")</f>
        <v>REGIÓN 1</v>
      </c>
      <c r="E60" s="28" t="str">
        <f>IFERROR(VLOOKUP(B60,UNIDADES!$A:$F,5,FALSE)," ")</f>
        <v>DEPARTAMENTO DE POLICÍA SAN ANDRÉS Y PROVIDENCIA</v>
      </c>
      <c r="F60" s="28" t="str">
        <f>IFERROR(VLOOKUP(B60,UNIDADES!$A:$F,6,FALSE)," ")</f>
        <v>800141053-7</v>
      </c>
      <c r="G60" s="36" t="s">
        <v>15</v>
      </c>
      <c r="H60" s="36" t="s">
        <v>372</v>
      </c>
      <c r="I60" s="80" t="s">
        <v>628</v>
      </c>
      <c r="J60" s="38">
        <v>23159000</v>
      </c>
      <c r="K60" s="38"/>
      <c r="L60" s="67">
        <f t="shared" si="0"/>
        <v>23159000</v>
      </c>
      <c r="M60" s="70"/>
      <c r="N60" s="67">
        <f t="shared" si="1"/>
        <v>23159000</v>
      </c>
      <c r="O60" s="37"/>
      <c r="P60" s="43">
        <v>43768</v>
      </c>
      <c r="Q60" s="43">
        <v>43768</v>
      </c>
      <c r="R60" s="38">
        <v>23159000</v>
      </c>
      <c r="S60" s="36" t="s">
        <v>595</v>
      </c>
      <c r="T60" s="46" t="s">
        <v>143</v>
      </c>
      <c r="U60" s="36" t="s">
        <v>629</v>
      </c>
      <c r="V60" s="46" t="s">
        <v>365</v>
      </c>
      <c r="W60" s="47">
        <v>43768</v>
      </c>
      <c r="X60" s="47">
        <v>43770</v>
      </c>
      <c r="Y60" s="47">
        <v>43791</v>
      </c>
      <c r="Z60" s="36" t="s">
        <v>366</v>
      </c>
      <c r="AA60" s="32" t="s">
        <v>376</v>
      </c>
      <c r="AB60" s="71">
        <f t="shared" si="3"/>
        <v>0</v>
      </c>
      <c r="AC60" s="36" t="s">
        <v>630</v>
      </c>
      <c r="AD60" s="36"/>
      <c r="AE60" s="85">
        <v>43791</v>
      </c>
      <c r="AF60" s="52" t="s">
        <v>628</v>
      </c>
      <c r="AG60" s="81" t="s">
        <v>540</v>
      </c>
      <c r="AH60" s="132" t="s">
        <v>631</v>
      </c>
      <c r="AI60" s="81" t="s">
        <v>354</v>
      </c>
      <c r="AJ60" s="81" t="s">
        <v>632</v>
      </c>
      <c r="AK60" s="38">
        <v>23159000</v>
      </c>
      <c r="AL60" s="38"/>
      <c r="AM60" s="67">
        <f t="shared" si="4"/>
        <v>23159000</v>
      </c>
      <c r="AN60" s="38">
        <v>23159000</v>
      </c>
      <c r="AO60" s="38">
        <v>23159000</v>
      </c>
      <c r="AP60" s="47">
        <v>43791</v>
      </c>
      <c r="AQ60" s="47">
        <v>43829</v>
      </c>
      <c r="AR60" s="46" t="s">
        <v>237</v>
      </c>
      <c r="AS60" s="38">
        <v>23159000</v>
      </c>
      <c r="AT60" s="33">
        <f t="shared" si="6"/>
        <v>0</v>
      </c>
      <c r="AU60" s="46" t="s">
        <v>153</v>
      </c>
    </row>
    <row r="61" spans="1:47" s="14" customFormat="1" ht="75" x14ac:dyDescent="0.25">
      <c r="A61" s="73">
        <v>62</v>
      </c>
      <c r="B61" s="46" t="s">
        <v>15</v>
      </c>
      <c r="C61" s="28">
        <f>IFERROR(VLOOKUP(B61,UNIDADES!$A:$F,2,FALSE)," ")</f>
        <v>38</v>
      </c>
      <c r="D61" s="28" t="str">
        <f>IFERROR(VLOOKUP(B61,UNIDADES!$A:$F,4,FALSE)," ")</f>
        <v>REGIÓN 1</v>
      </c>
      <c r="E61" s="28" t="str">
        <f>IFERROR(VLOOKUP(B61,UNIDADES!$A:$F,5,FALSE)," ")</f>
        <v>DEPARTAMENTO DE POLICÍA SAN ANDRÉS Y PROVIDENCIA</v>
      </c>
      <c r="F61" s="28" t="str">
        <f>IFERROR(VLOOKUP(B61,UNIDADES!$A:$F,6,FALSE)," ")</f>
        <v>800141053-7</v>
      </c>
      <c r="G61" s="36" t="s">
        <v>15</v>
      </c>
      <c r="H61" s="36" t="s">
        <v>372</v>
      </c>
      <c r="I61" s="80" t="s">
        <v>633</v>
      </c>
      <c r="J61" s="38">
        <v>2120000</v>
      </c>
      <c r="K61" s="38"/>
      <c r="L61" s="67">
        <f t="shared" si="0"/>
        <v>2120000</v>
      </c>
      <c r="M61" s="70"/>
      <c r="N61" s="67">
        <f t="shared" si="1"/>
        <v>2120000</v>
      </c>
      <c r="O61" s="37"/>
      <c r="P61" s="43">
        <v>43768</v>
      </c>
      <c r="Q61" s="43">
        <v>43768</v>
      </c>
      <c r="R61" s="38">
        <v>2120000</v>
      </c>
      <c r="S61" s="36" t="s">
        <v>634</v>
      </c>
      <c r="T61" s="46" t="s">
        <v>143</v>
      </c>
      <c r="U61" s="36" t="s">
        <v>635</v>
      </c>
      <c r="V61" s="46" t="s">
        <v>365</v>
      </c>
      <c r="W61" s="47">
        <v>43768</v>
      </c>
      <c r="X61" s="47">
        <v>43770</v>
      </c>
      <c r="Y61" s="47">
        <v>43791</v>
      </c>
      <c r="Z61" s="36" t="s">
        <v>366</v>
      </c>
      <c r="AA61" s="32" t="s">
        <v>376</v>
      </c>
      <c r="AB61" s="71">
        <f t="shared" si="3"/>
        <v>0</v>
      </c>
      <c r="AC61" s="36" t="s">
        <v>636</v>
      </c>
      <c r="AD61" s="36"/>
      <c r="AE61" s="85">
        <v>43791</v>
      </c>
      <c r="AF61" s="52" t="s">
        <v>633</v>
      </c>
      <c r="AG61" s="81" t="s">
        <v>197</v>
      </c>
      <c r="AH61" s="81" t="s">
        <v>637</v>
      </c>
      <c r="AI61" s="81" t="s">
        <v>354</v>
      </c>
      <c r="AJ61" s="81" t="s">
        <v>638</v>
      </c>
      <c r="AK61" s="38">
        <v>2120000</v>
      </c>
      <c r="AL61" s="38"/>
      <c r="AM61" s="67">
        <f t="shared" si="4"/>
        <v>2120000</v>
      </c>
      <c r="AN61" s="38">
        <v>2120000</v>
      </c>
      <c r="AO61" s="38">
        <v>2120000</v>
      </c>
      <c r="AP61" s="47">
        <v>43791</v>
      </c>
      <c r="AQ61" s="47">
        <v>43821</v>
      </c>
      <c r="AR61" s="46" t="s">
        <v>237</v>
      </c>
      <c r="AS61" s="38">
        <v>2120000</v>
      </c>
      <c r="AT61" s="33">
        <f t="shared" si="6"/>
        <v>0</v>
      </c>
      <c r="AU61" s="46" t="s">
        <v>153</v>
      </c>
    </row>
    <row r="62" spans="1:47" s="14" customFormat="1" ht="45" x14ac:dyDescent="0.25">
      <c r="A62" s="73">
        <v>63</v>
      </c>
      <c r="B62" s="46" t="s">
        <v>15</v>
      </c>
      <c r="C62" s="28">
        <f>IFERROR(VLOOKUP(B62,UNIDADES!$A:$F,2,FALSE)," ")</f>
        <v>38</v>
      </c>
      <c r="D62" s="28" t="str">
        <f>IFERROR(VLOOKUP(B62,UNIDADES!$A:$F,4,FALSE)," ")</f>
        <v>REGIÓN 1</v>
      </c>
      <c r="E62" s="28" t="str">
        <f>IFERROR(VLOOKUP(B62,UNIDADES!$A:$F,5,FALSE)," ")</f>
        <v>DEPARTAMENTO DE POLICÍA SAN ANDRÉS Y PROVIDENCIA</v>
      </c>
      <c r="F62" s="28" t="str">
        <f>IFERROR(VLOOKUP(B62,UNIDADES!$A:$F,6,FALSE)," ")</f>
        <v>800141053-7</v>
      </c>
      <c r="G62" s="36" t="s">
        <v>15</v>
      </c>
      <c r="H62" s="36" t="s">
        <v>372</v>
      </c>
      <c r="I62" s="37" t="s">
        <v>639</v>
      </c>
      <c r="J62" s="38">
        <v>20000000</v>
      </c>
      <c r="K62" s="38"/>
      <c r="L62" s="67">
        <f t="shared" si="0"/>
        <v>20000000</v>
      </c>
      <c r="M62" s="70"/>
      <c r="N62" s="67">
        <f t="shared" si="1"/>
        <v>20000000</v>
      </c>
      <c r="O62" s="37"/>
      <c r="P62" s="43">
        <v>43767</v>
      </c>
      <c r="Q62" s="43">
        <v>43767</v>
      </c>
      <c r="R62" s="38">
        <v>20000000</v>
      </c>
      <c r="S62" s="36" t="s">
        <v>640</v>
      </c>
      <c r="T62" s="46" t="s">
        <v>143</v>
      </c>
      <c r="U62" s="36" t="s">
        <v>641</v>
      </c>
      <c r="V62" s="46" t="s">
        <v>365</v>
      </c>
      <c r="W62" s="47">
        <v>43767</v>
      </c>
      <c r="X62" s="47">
        <v>43770</v>
      </c>
      <c r="Y62" s="47">
        <v>43791</v>
      </c>
      <c r="Z62" s="36" t="s">
        <v>366</v>
      </c>
      <c r="AA62" s="32" t="s">
        <v>376</v>
      </c>
      <c r="AB62" s="71">
        <f t="shared" si="3"/>
        <v>0</v>
      </c>
      <c r="AC62" s="36" t="s">
        <v>642</v>
      </c>
      <c r="AD62" s="36"/>
      <c r="AE62" s="85">
        <v>43791</v>
      </c>
      <c r="AF62" s="80" t="s">
        <v>639</v>
      </c>
      <c r="AG62" s="81" t="s">
        <v>643</v>
      </c>
      <c r="AH62" s="81" t="s">
        <v>644</v>
      </c>
      <c r="AI62" s="81" t="s">
        <v>354</v>
      </c>
      <c r="AJ62" s="81" t="s">
        <v>645</v>
      </c>
      <c r="AK62" s="38">
        <v>20000000</v>
      </c>
      <c r="AL62" s="38"/>
      <c r="AM62" s="67">
        <f t="shared" si="4"/>
        <v>20000000</v>
      </c>
      <c r="AN62" s="38">
        <v>20000000</v>
      </c>
      <c r="AO62" s="38">
        <v>20000000</v>
      </c>
      <c r="AP62" s="47">
        <v>43791</v>
      </c>
      <c r="AQ62" s="47">
        <v>43824</v>
      </c>
      <c r="AR62" s="46" t="s">
        <v>237</v>
      </c>
      <c r="AS62" s="38">
        <v>20000000</v>
      </c>
      <c r="AT62" s="33">
        <f t="shared" si="6"/>
        <v>0</v>
      </c>
      <c r="AU62" s="46" t="s">
        <v>153</v>
      </c>
    </row>
    <row r="63" spans="1:47" s="14" customFormat="1" ht="90" x14ac:dyDescent="0.25">
      <c r="A63" s="73">
        <v>64</v>
      </c>
      <c r="B63" s="46" t="s">
        <v>15</v>
      </c>
      <c r="C63" s="28">
        <f>IFERROR(VLOOKUP(B63,UNIDADES!$A:$F,2,FALSE)," ")</f>
        <v>38</v>
      </c>
      <c r="D63" s="28" t="str">
        <f>IFERROR(VLOOKUP(B63,UNIDADES!$A:$F,4,FALSE)," ")</f>
        <v>REGIÓN 1</v>
      </c>
      <c r="E63" s="28" t="str">
        <f>IFERROR(VLOOKUP(B63,UNIDADES!$A:$F,5,FALSE)," ")</f>
        <v>DEPARTAMENTO DE POLICÍA SAN ANDRÉS Y PROVIDENCIA</v>
      </c>
      <c r="F63" s="28" t="str">
        <f>IFERROR(VLOOKUP(B63,UNIDADES!$A:$F,6,FALSE)," ")</f>
        <v>800141053-7</v>
      </c>
      <c r="G63" s="36" t="s">
        <v>15</v>
      </c>
      <c r="H63" s="36" t="s">
        <v>372</v>
      </c>
      <c r="I63" s="80" t="s">
        <v>646</v>
      </c>
      <c r="J63" s="38">
        <v>158558856.86000001</v>
      </c>
      <c r="K63" s="38"/>
      <c r="L63" s="67">
        <f t="shared" si="0"/>
        <v>158558856.86000001</v>
      </c>
      <c r="M63" s="70"/>
      <c r="N63" s="67">
        <f t="shared" si="1"/>
        <v>158558856.86000001</v>
      </c>
      <c r="O63" s="37"/>
      <c r="P63" s="43">
        <v>43732</v>
      </c>
      <c r="Q63" s="43">
        <v>43732</v>
      </c>
      <c r="R63" s="38">
        <v>158558856.86000001</v>
      </c>
      <c r="S63" s="36" t="s">
        <v>382</v>
      </c>
      <c r="T63" s="46" t="s">
        <v>143</v>
      </c>
      <c r="U63" s="36" t="s">
        <v>647</v>
      </c>
      <c r="V63" s="46" t="s">
        <v>364</v>
      </c>
      <c r="W63" s="47">
        <v>43732</v>
      </c>
      <c r="X63" s="47">
        <v>43735</v>
      </c>
      <c r="Y63" s="47">
        <v>43733</v>
      </c>
      <c r="Z63" s="36" t="s">
        <v>364</v>
      </c>
      <c r="AA63" s="32" t="s">
        <v>376</v>
      </c>
      <c r="AB63" s="71">
        <f t="shared" si="3"/>
        <v>0</v>
      </c>
      <c r="AC63" s="36" t="s">
        <v>551</v>
      </c>
      <c r="AD63" s="36"/>
      <c r="AE63" s="85">
        <v>43733</v>
      </c>
      <c r="AF63" s="52" t="s">
        <v>646</v>
      </c>
      <c r="AG63" s="131">
        <v>40991861</v>
      </c>
      <c r="AH63" s="81" t="s">
        <v>648</v>
      </c>
      <c r="AI63" s="81" t="s">
        <v>354</v>
      </c>
      <c r="AJ63" s="81" t="s">
        <v>648</v>
      </c>
      <c r="AK63" s="38">
        <v>158558856.86000001</v>
      </c>
      <c r="AL63" s="38"/>
      <c r="AM63" s="67">
        <f t="shared" si="4"/>
        <v>158558856.86000001</v>
      </c>
      <c r="AN63" s="38">
        <v>158558856.86000001</v>
      </c>
      <c r="AO63" s="38">
        <v>158558856.86000001</v>
      </c>
      <c r="AP63" s="47">
        <v>43732</v>
      </c>
      <c r="AQ63" s="47">
        <v>43804</v>
      </c>
      <c r="AR63" s="46" t="s">
        <v>226</v>
      </c>
      <c r="AS63" s="38">
        <v>158558856.86000001</v>
      </c>
      <c r="AT63" s="33">
        <f t="shared" si="6"/>
        <v>0</v>
      </c>
      <c r="AU63" s="46" t="s">
        <v>153</v>
      </c>
    </row>
    <row r="64" spans="1:47" s="14" customFormat="1" ht="75" x14ac:dyDescent="0.25">
      <c r="A64" s="73">
        <v>65</v>
      </c>
      <c r="B64" s="46" t="s">
        <v>15</v>
      </c>
      <c r="C64" s="28">
        <f>IFERROR(VLOOKUP(B64,UNIDADES!$A:$F,2,FALSE)," ")</f>
        <v>38</v>
      </c>
      <c r="D64" s="28" t="str">
        <f>IFERROR(VLOOKUP(B64,UNIDADES!$A:$F,4,FALSE)," ")</f>
        <v>REGIÓN 1</v>
      </c>
      <c r="E64" s="28" t="str">
        <f>IFERROR(VLOOKUP(B64,UNIDADES!$A:$F,5,FALSE)," ")</f>
        <v>DEPARTAMENTO DE POLICÍA SAN ANDRÉS Y PROVIDENCIA</v>
      </c>
      <c r="F64" s="28" t="str">
        <f>IFERROR(VLOOKUP(B64,UNIDADES!$A:$F,6,FALSE)," ")</f>
        <v>800141053-7</v>
      </c>
      <c r="G64" s="36" t="s">
        <v>15</v>
      </c>
      <c r="H64" s="36" t="s">
        <v>372</v>
      </c>
      <c r="I64" s="134" t="s">
        <v>649</v>
      </c>
      <c r="J64" s="38">
        <v>184000000</v>
      </c>
      <c r="K64" s="38"/>
      <c r="L64" s="67">
        <f t="shared" ref="L64:L68" si="7">+J64+K64</f>
        <v>184000000</v>
      </c>
      <c r="M64" s="70"/>
      <c r="N64" s="67">
        <f t="shared" ref="N64:N68" si="8">+L64+M64</f>
        <v>184000000</v>
      </c>
      <c r="O64" s="37"/>
      <c r="P64" s="43">
        <v>43787</v>
      </c>
      <c r="Q64" s="43">
        <v>43787</v>
      </c>
      <c r="R64" s="38">
        <v>184000000</v>
      </c>
      <c r="S64" s="36" t="s">
        <v>419</v>
      </c>
      <c r="T64" s="46" t="s">
        <v>246</v>
      </c>
      <c r="U64" s="36" t="s">
        <v>650</v>
      </c>
      <c r="V64" s="46" t="s">
        <v>366</v>
      </c>
      <c r="W64" s="47">
        <v>43787</v>
      </c>
      <c r="X64" s="47">
        <v>43789</v>
      </c>
      <c r="Y64" s="47">
        <v>43800</v>
      </c>
      <c r="Z64" s="36" t="s">
        <v>367</v>
      </c>
      <c r="AA64" s="32" t="s">
        <v>376</v>
      </c>
      <c r="AB64" s="71">
        <f t="shared" si="3"/>
        <v>0</v>
      </c>
      <c r="AC64" s="36" t="s">
        <v>651</v>
      </c>
      <c r="AD64" s="36"/>
      <c r="AE64" s="85">
        <v>43800</v>
      </c>
      <c r="AF64" s="52" t="s">
        <v>649</v>
      </c>
      <c r="AG64" s="81" t="s">
        <v>480</v>
      </c>
      <c r="AH64" s="81" t="s">
        <v>481</v>
      </c>
      <c r="AI64" s="81" t="s">
        <v>354</v>
      </c>
      <c r="AJ64" s="81" t="s">
        <v>652</v>
      </c>
      <c r="AK64" s="38">
        <v>184000000</v>
      </c>
      <c r="AL64" s="38"/>
      <c r="AM64" s="67">
        <f t="shared" si="4"/>
        <v>184000000</v>
      </c>
      <c r="AN64" s="38">
        <v>184000000</v>
      </c>
      <c r="AO64" s="38">
        <v>184000000</v>
      </c>
      <c r="AP64" s="47">
        <v>43800</v>
      </c>
      <c r="AQ64" s="47">
        <v>44043</v>
      </c>
      <c r="AR64" s="46" t="s">
        <v>226</v>
      </c>
      <c r="AS64" s="38">
        <v>23000000</v>
      </c>
      <c r="AT64" s="33">
        <f t="shared" si="6"/>
        <v>161000000</v>
      </c>
      <c r="AU64" s="46" t="s">
        <v>151</v>
      </c>
    </row>
    <row r="65" spans="1:47" s="14" customFormat="1" ht="90" x14ac:dyDescent="0.25">
      <c r="A65" s="73">
        <v>66</v>
      </c>
      <c r="B65" s="46" t="s">
        <v>15</v>
      </c>
      <c r="C65" s="28">
        <f>IFERROR(VLOOKUP(B65,UNIDADES!$A:$F,2,FALSE)," ")</f>
        <v>38</v>
      </c>
      <c r="D65" s="28" t="str">
        <f>IFERROR(VLOOKUP(B65,UNIDADES!$A:$F,4,FALSE)," ")</f>
        <v>REGIÓN 1</v>
      </c>
      <c r="E65" s="28" t="str">
        <f>IFERROR(VLOOKUP(B65,UNIDADES!$A:$F,5,FALSE)," ")</f>
        <v>DEPARTAMENTO DE POLICÍA SAN ANDRÉS Y PROVIDENCIA</v>
      </c>
      <c r="F65" s="28" t="str">
        <f>IFERROR(VLOOKUP(B65,UNIDADES!$A:$F,6,FALSE)," ")</f>
        <v>800141053-7</v>
      </c>
      <c r="G65" s="36" t="s">
        <v>15</v>
      </c>
      <c r="H65" s="36" t="s">
        <v>372</v>
      </c>
      <c r="I65" s="133" t="s">
        <v>653</v>
      </c>
      <c r="J65" s="38">
        <v>33000000</v>
      </c>
      <c r="K65" s="38"/>
      <c r="L65" s="67">
        <f t="shared" si="7"/>
        <v>33000000</v>
      </c>
      <c r="M65" s="70"/>
      <c r="N65" s="67">
        <f t="shared" si="8"/>
        <v>33000000</v>
      </c>
      <c r="O65" s="37"/>
      <c r="P65" s="43">
        <v>43808</v>
      </c>
      <c r="Q65" s="43">
        <v>43778</v>
      </c>
      <c r="R65" s="38">
        <v>33000000</v>
      </c>
      <c r="S65" s="36" t="s">
        <v>417</v>
      </c>
      <c r="T65" s="46" t="s">
        <v>143</v>
      </c>
      <c r="U65" s="36" t="s">
        <v>654</v>
      </c>
      <c r="V65" s="46" t="s">
        <v>367</v>
      </c>
      <c r="W65" s="47">
        <v>43808</v>
      </c>
      <c r="X65" s="47">
        <v>43809</v>
      </c>
      <c r="Y65" s="47">
        <v>43813</v>
      </c>
      <c r="Z65" s="36" t="s">
        <v>367</v>
      </c>
      <c r="AA65" s="32" t="s">
        <v>376</v>
      </c>
      <c r="AB65" s="71">
        <f t="shared" si="3"/>
        <v>0</v>
      </c>
      <c r="AC65" s="36" t="s">
        <v>655</v>
      </c>
      <c r="AD65" s="36"/>
      <c r="AE65" s="85">
        <v>43813</v>
      </c>
      <c r="AF65" s="52" t="s">
        <v>653</v>
      </c>
      <c r="AG65" s="81" t="s">
        <v>656</v>
      </c>
      <c r="AH65" s="81" t="s">
        <v>657</v>
      </c>
      <c r="AI65" s="81" t="s">
        <v>354</v>
      </c>
      <c r="AJ65" s="81" t="s">
        <v>658</v>
      </c>
      <c r="AK65" s="38">
        <v>33000000</v>
      </c>
      <c r="AL65" s="38"/>
      <c r="AM65" s="67">
        <f t="shared" si="4"/>
        <v>33000000</v>
      </c>
      <c r="AN65" s="38">
        <v>33000000</v>
      </c>
      <c r="AO65" s="38">
        <v>33000000</v>
      </c>
      <c r="AP65" s="47">
        <v>43813</v>
      </c>
      <c r="AQ65" s="47">
        <v>43827</v>
      </c>
      <c r="AR65" s="46" t="s">
        <v>237</v>
      </c>
      <c r="AS65" s="38">
        <v>33000000</v>
      </c>
      <c r="AT65" s="33">
        <f t="shared" si="6"/>
        <v>0</v>
      </c>
      <c r="AU65" s="46" t="s">
        <v>153</v>
      </c>
    </row>
    <row r="66" spans="1:47" s="14" customFormat="1" ht="75" x14ac:dyDescent="0.25">
      <c r="A66" s="73">
        <v>67</v>
      </c>
      <c r="B66" s="46" t="s">
        <v>15</v>
      </c>
      <c r="C66" s="28"/>
      <c r="D66" s="28" t="str">
        <f>IFERROR(VLOOKUP(B66,UNIDADES!$A:$F,4,FALSE)," ")</f>
        <v>REGIÓN 1</v>
      </c>
      <c r="E66" s="28" t="str">
        <f>IFERROR(VLOOKUP(B66,UNIDADES!$A:$F,5,FALSE)," ")</f>
        <v>DEPARTAMENTO DE POLICÍA SAN ANDRÉS Y PROVIDENCIA</v>
      </c>
      <c r="F66" s="28" t="str">
        <f>IFERROR(VLOOKUP(B66,UNIDADES!$A:$F,6,FALSE)," ")</f>
        <v>800141053-7</v>
      </c>
      <c r="G66" s="36" t="s">
        <v>15</v>
      </c>
      <c r="H66" s="36" t="s">
        <v>372</v>
      </c>
      <c r="I66" s="133" t="s">
        <v>659</v>
      </c>
      <c r="J66" s="38">
        <v>261012272.27000001</v>
      </c>
      <c r="K66" s="38"/>
      <c r="L66" s="67">
        <f t="shared" si="7"/>
        <v>261012272.27000001</v>
      </c>
      <c r="M66" s="70"/>
      <c r="N66" s="67">
        <f t="shared" si="8"/>
        <v>261012272.27000001</v>
      </c>
      <c r="O66" s="37"/>
      <c r="P66" s="43">
        <v>43804</v>
      </c>
      <c r="Q66" s="43">
        <v>43804</v>
      </c>
      <c r="R66" s="38">
        <v>261012272.27000001</v>
      </c>
      <c r="S66" s="36" t="s">
        <v>382</v>
      </c>
      <c r="T66" s="46" t="s">
        <v>246</v>
      </c>
      <c r="U66" s="36" t="s">
        <v>660</v>
      </c>
      <c r="V66" s="46" t="s">
        <v>367</v>
      </c>
      <c r="W66" s="47">
        <v>43804</v>
      </c>
      <c r="X66" s="47">
        <v>43806</v>
      </c>
      <c r="Y66" s="47">
        <v>43813</v>
      </c>
      <c r="Z66" s="36" t="s">
        <v>367</v>
      </c>
      <c r="AA66" s="32" t="s">
        <v>376</v>
      </c>
      <c r="AB66" s="71">
        <f t="shared" si="3"/>
        <v>0.20000001788139343</v>
      </c>
      <c r="AC66" s="36" t="s">
        <v>661</v>
      </c>
      <c r="AD66" s="36"/>
      <c r="AE66" s="85">
        <v>43813</v>
      </c>
      <c r="AF66" s="133" t="s">
        <v>659</v>
      </c>
      <c r="AG66" s="131">
        <v>40991861</v>
      </c>
      <c r="AH66" s="81" t="s">
        <v>648</v>
      </c>
      <c r="AI66" s="81" t="s">
        <v>354</v>
      </c>
      <c r="AJ66" s="81" t="s">
        <v>648</v>
      </c>
      <c r="AK66" s="38">
        <v>261012272.06999999</v>
      </c>
      <c r="AL66" s="38"/>
      <c r="AM66" s="67">
        <f t="shared" si="4"/>
        <v>261012272.06999999</v>
      </c>
      <c r="AN66" s="38">
        <v>261012272.06999999</v>
      </c>
      <c r="AO66" s="38">
        <v>261012272</v>
      </c>
      <c r="AP66" s="47">
        <v>43813</v>
      </c>
      <c r="AQ66" s="47">
        <v>43921</v>
      </c>
      <c r="AR66" s="46" t="s">
        <v>226</v>
      </c>
      <c r="AS66" s="38">
        <v>41469239.490000002</v>
      </c>
      <c r="AT66" s="33">
        <f t="shared" si="6"/>
        <v>219543032.57999998</v>
      </c>
      <c r="AU66" s="46" t="s">
        <v>151</v>
      </c>
    </row>
    <row r="67" spans="1:47" s="14" customFormat="1" ht="90" x14ac:dyDescent="0.25">
      <c r="A67" s="73">
        <v>68</v>
      </c>
      <c r="B67" s="46" t="s">
        <v>15</v>
      </c>
      <c r="C67" s="28">
        <f>IFERROR(VLOOKUP(B67,UNIDADES!$A:$F,2,FALSE)," ")</f>
        <v>38</v>
      </c>
      <c r="D67" s="28" t="str">
        <f>IFERROR(VLOOKUP(B67,UNIDADES!$A:$F,4,FALSE)," ")</f>
        <v>REGIÓN 1</v>
      </c>
      <c r="E67" s="28" t="str">
        <f>IFERROR(VLOOKUP(B67,UNIDADES!$A:$F,5,FALSE)," ")</f>
        <v>DEPARTAMENTO DE POLICÍA SAN ANDRÉS Y PROVIDENCIA</v>
      </c>
      <c r="F67" s="28" t="str">
        <f>IFERROR(VLOOKUP(B67,UNIDADES!$A:$F,6,FALSE)," ")</f>
        <v>800141053-7</v>
      </c>
      <c r="G67" s="36" t="s">
        <v>15</v>
      </c>
      <c r="H67" s="36" t="s">
        <v>372</v>
      </c>
      <c r="I67" s="80" t="s">
        <v>662</v>
      </c>
      <c r="J67" s="38">
        <v>23778558</v>
      </c>
      <c r="K67" s="38"/>
      <c r="L67" s="67">
        <f t="shared" si="7"/>
        <v>23778558</v>
      </c>
      <c r="M67" s="70"/>
      <c r="N67" s="67">
        <f t="shared" si="8"/>
        <v>23778558</v>
      </c>
      <c r="O67" s="37"/>
      <c r="P67" s="43">
        <v>43789</v>
      </c>
      <c r="Q67" s="43">
        <v>43789</v>
      </c>
      <c r="R67" s="38">
        <v>23778558</v>
      </c>
      <c r="S67" s="36" t="s">
        <v>663</v>
      </c>
      <c r="T67" s="46" t="s">
        <v>143</v>
      </c>
      <c r="U67" s="36" t="s">
        <v>664</v>
      </c>
      <c r="V67" s="46" t="s">
        <v>366</v>
      </c>
      <c r="W67" s="47">
        <v>43789</v>
      </c>
      <c r="X67" s="47">
        <v>43791</v>
      </c>
      <c r="Y67" s="47">
        <v>43805</v>
      </c>
      <c r="Z67" s="36" t="s">
        <v>367</v>
      </c>
      <c r="AA67" s="32" t="s">
        <v>376</v>
      </c>
      <c r="AB67" s="71">
        <f t="shared" ref="AB67:AB68" si="9">+N67+O67-AM67</f>
        <v>0</v>
      </c>
      <c r="AC67" s="36" t="s">
        <v>665</v>
      </c>
      <c r="AD67" s="36"/>
      <c r="AE67" s="85">
        <v>43805</v>
      </c>
      <c r="AF67" s="52" t="s">
        <v>662</v>
      </c>
      <c r="AG67" s="81" t="s">
        <v>666</v>
      </c>
      <c r="AH67" s="81" t="s">
        <v>667</v>
      </c>
      <c r="AI67" s="81" t="s">
        <v>354</v>
      </c>
      <c r="AJ67" s="81" t="s">
        <v>667</v>
      </c>
      <c r="AK67" s="38">
        <v>23778558</v>
      </c>
      <c r="AL67" s="38"/>
      <c r="AM67" s="67">
        <f t="shared" ref="AM67:AM68" si="10">+AK67+AL67</f>
        <v>23778558</v>
      </c>
      <c r="AN67" s="38">
        <v>23778558</v>
      </c>
      <c r="AO67" s="38">
        <v>23778558</v>
      </c>
      <c r="AP67" s="47">
        <v>43805</v>
      </c>
      <c r="AQ67" s="47">
        <v>43830</v>
      </c>
      <c r="AR67" s="46" t="s">
        <v>237</v>
      </c>
      <c r="AS67" s="38">
        <v>23778558</v>
      </c>
      <c r="AT67" s="33">
        <f t="shared" si="6"/>
        <v>0</v>
      </c>
      <c r="AU67" s="46" t="s">
        <v>153</v>
      </c>
    </row>
    <row r="68" spans="1:47" s="14" customFormat="1" ht="75" x14ac:dyDescent="0.25">
      <c r="A68" s="73">
        <v>69</v>
      </c>
      <c r="B68" s="46" t="s">
        <v>15</v>
      </c>
      <c r="C68" s="28">
        <f>IFERROR(VLOOKUP(B68,UNIDADES!$A:$F,2,FALSE)," ")</f>
        <v>38</v>
      </c>
      <c r="D68" s="28" t="str">
        <f>IFERROR(VLOOKUP(B68,UNIDADES!$A:$F,4,FALSE)," ")</f>
        <v>REGIÓN 1</v>
      </c>
      <c r="E68" s="28" t="str">
        <f>IFERROR(VLOOKUP(B68,UNIDADES!$A:$F,5,FALSE)," ")</f>
        <v>DEPARTAMENTO DE POLICÍA SAN ANDRÉS Y PROVIDENCIA</v>
      </c>
      <c r="F68" s="28" t="str">
        <f>IFERROR(VLOOKUP(B68,UNIDADES!$A:$F,6,FALSE)," ")</f>
        <v>800141053-7</v>
      </c>
      <c r="G68" s="36" t="s">
        <v>15</v>
      </c>
      <c r="H68" s="36" t="s">
        <v>372</v>
      </c>
      <c r="I68" s="80" t="s">
        <v>670</v>
      </c>
      <c r="J68" s="38">
        <v>23159000</v>
      </c>
      <c r="K68" s="38"/>
      <c r="L68" s="67">
        <f t="shared" si="7"/>
        <v>23159000</v>
      </c>
      <c r="M68" s="70"/>
      <c r="N68" s="67">
        <f t="shared" si="8"/>
        <v>23159000</v>
      </c>
      <c r="O68" s="37"/>
      <c r="P68" s="43">
        <v>43768</v>
      </c>
      <c r="Q68" s="43">
        <v>43768</v>
      </c>
      <c r="R68" s="38">
        <v>23159000</v>
      </c>
      <c r="S68" s="36" t="s">
        <v>595</v>
      </c>
      <c r="T68" s="46" t="s">
        <v>143</v>
      </c>
      <c r="U68" s="36" t="s">
        <v>629</v>
      </c>
      <c r="V68" s="46" t="s">
        <v>366</v>
      </c>
      <c r="W68" s="47">
        <v>43768</v>
      </c>
      <c r="X68" s="47">
        <v>43770</v>
      </c>
      <c r="Y68" s="47">
        <v>43795</v>
      </c>
      <c r="Z68" s="36" t="s">
        <v>366</v>
      </c>
      <c r="AA68" s="32" t="s">
        <v>376</v>
      </c>
      <c r="AB68" s="71">
        <f t="shared" si="9"/>
        <v>0</v>
      </c>
      <c r="AC68" s="36" t="s">
        <v>630</v>
      </c>
      <c r="AD68" s="36"/>
      <c r="AE68" s="135">
        <v>43795</v>
      </c>
      <c r="AF68" s="52" t="s">
        <v>670</v>
      </c>
      <c r="AG68" s="81">
        <v>1064308871</v>
      </c>
      <c r="AH68" s="81" t="s">
        <v>671</v>
      </c>
      <c r="AI68" s="36" t="s">
        <v>354</v>
      </c>
      <c r="AJ68" s="81" t="s">
        <v>671</v>
      </c>
      <c r="AK68" s="38">
        <v>23159000</v>
      </c>
      <c r="AL68" s="38"/>
      <c r="AM68" s="67">
        <f t="shared" si="10"/>
        <v>23159000</v>
      </c>
      <c r="AN68" s="38">
        <v>23159000</v>
      </c>
      <c r="AO68" s="38">
        <v>23159000</v>
      </c>
      <c r="AP68" s="47">
        <v>43795</v>
      </c>
      <c r="AQ68" s="47">
        <v>43830</v>
      </c>
      <c r="AR68" s="46" t="s">
        <v>237</v>
      </c>
      <c r="AS68" s="38">
        <v>23159000</v>
      </c>
      <c r="AT68" s="33">
        <f t="shared" si="6"/>
        <v>0</v>
      </c>
      <c r="AU68" s="46" t="s">
        <v>153</v>
      </c>
    </row>
  </sheetData>
  <sheetProtection insertColumns="0" insertRows="0"/>
  <autoFilter ref="A1:AU68" xr:uid="{887CC51A-D0F8-4773-89C3-CD5FA95C46D3}"/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CONVENCIONES!$A$4:$A$14</xm:f>
          </x14:formula1>
          <xm:sqref>AU2:AU68</xm:sqref>
        </x14:dataValidation>
        <x14:dataValidation type="list" allowBlank="1" showInputMessage="1" showErrorMessage="1" xr:uid="{00000000-0002-0000-0000-000001000000}">
          <x14:formula1>
            <xm:f>CONVENCIONES!$A$33:$A$35</xm:f>
          </x14:formula1>
          <xm:sqref>AR2:AR68</xm:sqref>
        </x14:dataValidation>
        <x14:dataValidation type="list" allowBlank="1" showInputMessage="1" showErrorMessage="1" xr:uid="{00000000-0002-0000-0000-000002000000}">
          <x14:formula1>
            <xm:f>CONVENCIONES!$A$20:$A$28</xm:f>
          </x14:formula1>
          <xm:sqref>T2:T68</xm:sqref>
        </x14:dataValidation>
        <x14:dataValidation type="list" allowBlank="1" showInputMessage="1" showErrorMessage="1" xr:uid="{00000000-0002-0000-0000-000003000000}">
          <x14:formula1>
            <xm:f>UNIDADES!$A$2:$A$1048576</xm:f>
          </x14:formula1>
          <xm:sqref>B2:B68</xm:sqref>
        </x14:dataValidation>
        <x14:dataValidation type="list" allowBlank="1" showInputMessage="1" showErrorMessage="1" xr:uid="{00000000-0002-0000-0000-000004000000}">
          <x14:formula1>
            <xm:f>CONVENCIONES!$A$48:$A$59</xm:f>
          </x14:formula1>
          <xm:sqref>V2:V68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G57"/>
  <sheetViews>
    <sheetView tabSelected="1" topLeftCell="B1" zoomScale="85" zoomScaleNormal="85" zoomScaleSheetLayoutView="85" workbookViewId="0">
      <selection activeCell="I40" sqref="I40"/>
    </sheetView>
  </sheetViews>
  <sheetFormatPr baseColWidth="10" defaultRowHeight="15" x14ac:dyDescent="0.25"/>
  <cols>
    <col min="1" max="1" width="28.7109375" style="2" customWidth="1"/>
    <col min="2" max="2" width="25.5703125" style="3" customWidth="1"/>
    <col min="3" max="3" width="32.140625" style="3" customWidth="1"/>
    <col min="4" max="4" width="34.85546875" style="55" customWidth="1"/>
    <col min="5" max="5" width="24.28515625" style="55" customWidth="1"/>
    <col min="6" max="6" width="27.140625" style="55" customWidth="1"/>
    <col min="7" max="7" width="18" style="2" customWidth="1"/>
    <col min="8" max="16384" width="11.42578125" style="2"/>
  </cols>
  <sheetData>
    <row r="1" spans="1:7" ht="26.25" x14ac:dyDescent="0.4">
      <c r="A1" s="137" t="s">
        <v>370</v>
      </c>
      <c r="B1" s="137"/>
      <c r="C1" s="137"/>
      <c r="D1" s="137"/>
      <c r="E1" s="137"/>
      <c r="F1" s="137"/>
      <c r="G1" s="137"/>
    </row>
    <row r="2" spans="1:7" ht="26.25" x14ac:dyDescent="0.4">
      <c r="A2" s="137" t="str">
        <f>+GENERAL!E2</f>
        <v>DEPARTAMENTO DE POLICÍA SAN ANDRÉS Y PROVIDENCIA</v>
      </c>
      <c r="B2" s="137"/>
      <c r="C2" s="137"/>
      <c r="D2" s="137"/>
      <c r="E2" s="137"/>
      <c r="F2" s="137"/>
      <c r="G2" s="137"/>
    </row>
    <row r="3" spans="1:7" ht="15" customHeight="1" x14ac:dyDescent="0.25"/>
    <row r="4" spans="1:7" ht="15" customHeight="1" x14ac:dyDescent="0.25">
      <c r="G4" s="4"/>
    </row>
    <row r="5" spans="1:7" ht="15" customHeight="1" x14ac:dyDescent="0.25">
      <c r="A5" s="138" t="s">
        <v>0</v>
      </c>
      <c r="B5" s="138"/>
      <c r="C5" s="139" t="str">
        <f>+GENERAL!B2</f>
        <v>DESAP</v>
      </c>
      <c r="D5" s="139"/>
      <c r="E5" s="139"/>
    </row>
    <row r="6" spans="1:7" ht="15" customHeight="1" x14ac:dyDescent="0.25">
      <c r="A6" s="138" t="s">
        <v>106</v>
      </c>
      <c r="B6" s="138"/>
      <c r="C6" s="139" t="str">
        <f>+GENERAL!E2</f>
        <v>DEPARTAMENTO DE POLICÍA SAN ANDRÉS Y PROVIDENCIA</v>
      </c>
      <c r="D6" s="139"/>
      <c r="E6" s="139"/>
    </row>
    <row r="7" spans="1:7" ht="15" customHeight="1" x14ac:dyDescent="0.25">
      <c r="A7" s="138" t="s">
        <v>107</v>
      </c>
      <c r="B7" s="138"/>
      <c r="C7" s="139" t="str">
        <f>+GENERAL!F2</f>
        <v>800141053-7</v>
      </c>
      <c r="D7" s="139"/>
      <c r="E7" s="139"/>
    </row>
    <row r="9" spans="1:7" ht="14.25" customHeight="1" x14ac:dyDescent="0.25">
      <c r="A9" s="136" t="s">
        <v>139</v>
      </c>
      <c r="B9" s="136"/>
      <c r="C9" s="136"/>
      <c r="D9" s="136"/>
      <c r="E9" s="136"/>
      <c r="F9" s="136"/>
      <c r="G9" s="136"/>
    </row>
    <row r="13" spans="1:7" ht="30" x14ac:dyDescent="0.25">
      <c r="A13" s="5" t="s">
        <v>108</v>
      </c>
      <c r="B13" s="6" t="s">
        <v>109</v>
      </c>
      <c r="C13" s="6" t="s">
        <v>110</v>
      </c>
    </row>
    <row r="14" spans="1:7" ht="35.25" customHeight="1" x14ac:dyDescent="0.25">
      <c r="A14" s="7" t="str">
        <f>+C5</f>
        <v>DESAP</v>
      </c>
      <c r="B14" s="18">
        <f>SUM(GENERAL!AM:AM,GENERAL!AB:AB)</f>
        <v>6559064291.829998</v>
      </c>
      <c r="C14" s="8">
        <f>SUM(GENERAL!N:O)</f>
        <v>6559064291.8299999</v>
      </c>
    </row>
    <row r="15" spans="1:7" x14ac:dyDescent="0.25">
      <c r="A15" s="9" t="s">
        <v>111</v>
      </c>
      <c r="B15" s="10">
        <f>SUM(B14:B14)</f>
        <v>6559064291.829998</v>
      </c>
      <c r="C15" s="10">
        <f>SUM(C14:C14)</f>
        <v>6559064291.8299999</v>
      </c>
    </row>
    <row r="16" spans="1:7" ht="22.5" customHeight="1" x14ac:dyDescent="0.25">
      <c r="B16" s="141"/>
    </row>
    <row r="17" spans="1:7" ht="23.25" customHeight="1" x14ac:dyDescent="0.25">
      <c r="B17" s="6" t="s">
        <v>112</v>
      </c>
      <c r="C17" s="6" t="s">
        <v>113</v>
      </c>
    </row>
    <row r="18" spans="1:7" x14ac:dyDescent="0.25">
      <c r="B18" s="11">
        <f>+B15/C15</f>
        <v>0.99999999999999967</v>
      </c>
      <c r="C18" s="11">
        <f>100%-B15/C15</f>
        <v>0</v>
      </c>
    </row>
    <row r="19" spans="1:7" x14ac:dyDescent="0.25">
      <c r="B19" s="12">
        <f>SUM(B18)</f>
        <v>0.99999999999999967</v>
      </c>
      <c r="C19" s="12">
        <f>SUM(C18)</f>
        <v>0</v>
      </c>
    </row>
    <row r="20" spans="1:7" x14ac:dyDescent="0.25">
      <c r="B20" s="2"/>
    </row>
    <row r="21" spans="1:7" x14ac:dyDescent="0.25">
      <c r="A21" s="136" t="s">
        <v>140</v>
      </c>
      <c r="B21" s="136"/>
      <c r="C21" s="136"/>
      <c r="D21" s="136"/>
      <c r="E21" s="136"/>
      <c r="F21" s="136"/>
      <c r="G21" s="136"/>
    </row>
    <row r="22" spans="1:7" x14ac:dyDescent="0.25">
      <c r="B22" s="13"/>
    </row>
    <row r="23" spans="1:7" x14ac:dyDescent="0.25">
      <c r="B23" s="13"/>
    </row>
    <row r="24" spans="1:7" x14ac:dyDescent="0.25">
      <c r="B24" s="149" t="s">
        <v>672</v>
      </c>
      <c r="C24" s="149" t="s">
        <v>675</v>
      </c>
      <c r="D24" s="149" t="s">
        <v>676</v>
      </c>
      <c r="E24" s="144" t="s">
        <v>371</v>
      </c>
      <c r="F24" s="149" t="s">
        <v>674</v>
      </c>
    </row>
    <row r="25" spans="1:7" x14ac:dyDescent="0.25">
      <c r="B25" s="142" t="s">
        <v>245</v>
      </c>
      <c r="C25" s="145">
        <v>6</v>
      </c>
      <c r="D25" s="147">
        <v>229497033</v>
      </c>
      <c r="E25" s="147">
        <v>229497033</v>
      </c>
      <c r="F25" s="147"/>
    </row>
    <row r="26" spans="1:7" x14ac:dyDescent="0.25">
      <c r="B26" s="142" t="s">
        <v>120</v>
      </c>
      <c r="C26" s="145">
        <v>9</v>
      </c>
      <c r="D26" s="147">
        <v>328876962.98000002</v>
      </c>
      <c r="E26" s="147">
        <v>328876962.98000002</v>
      </c>
      <c r="F26" s="147"/>
    </row>
    <row r="27" spans="1:7" x14ac:dyDescent="0.25">
      <c r="B27" s="142" t="s">
        <v>246</v>
      </c>
      <c r="C27" s="145">
        <v>10</v>
      </c>
      <c r="D27" s="147">
        <v>1796752788.6700001</v>
      </c>
      <c r="E27" s="147">
        <v>1796752788.6700001</v>
      </c>
      <c r="F27" s="147"/>
    </row>
    <row r="28" spans="1:7" x14ac:dyDescent="0.25">
      <c r="B28" s="142" t="s">
        <v>143</v>
      </c>
      <c r="C28" s="145">
        <v>33</v>
      </c>
      <c r="D28" s="147">
        <v>992816977.84000003</v>
      </c>
      <c r="E28" s="147">
        <v>992816977.84000003</v>
      </c>
      <c r="F28" s="147"/>
    </row>
    <row r="29" spans="1:7" x14ac:dyDescent="0.25">
      <c r="B29" s="142" t="s">
        <v>119</v>
      </c>
      <c r="C29" s="145">
        <v>6</v>
      </c>
      <c r="D29" s="147">
        <v>2289111880.21</v>
      </c>
      <c r="E29" s="147">
        <v>2289111880.21</v>
      </c>
      <c r="F29" s="147"/>
    </row>
    <row r="30" spans="1:7" x14ac:dyDescent="0.25">
      <c r="B30" s="142" t="s">
        <v>116</v>
      </c>
      <c r="C30" s="145">
        <v>3</v>
      </c>
      <c r="D30" s="147">
        <v>922008649.12999988</v>
      </c>
      <c r="E30" s="147">
        <v>922008649.12999988</v>
      </c>
      <c r="F30" s="147"/>
    </row>
    <row r="31" spans="1:7" x14ac:dyDescent="0.25">
      <c r="B31" s="143" t="s">
        <v>673</v>
      </c>
      <c r="C31" s="146">
        <v>67</v>
      </c>
      <c r="D31" s="148">
        <v>6559064291.8299999</v>
      </c>
      <c r="E31" s="148">
        <v>6559064291.8299999</v>
      </c>
      <c r="F31" s="148"/>
    </row>
    <row r="32" spans="1:7" x14ac:dyDescent="0.25">
      <c r="B32"/>
      <c r="C32"/>
      <c r="D32"/>
      <c r="E32"/>
      <c r="F32"/>
    </row>
    <row r="36" spans="1:7" x14ac:dyDescent="0.25">
      <c r="A36" s="3"/>
    </row>
    <row r="37" spans="1:7" x14ac:dyDescent="0.25">
      <c r="A37" s="136" t="s">
        <v>141</v>
      </c>
      <c r="B37" s="136"/>
      <c r="C37" s="136"/>
      <c r="D37" s="136"/>
      <c r="E37" s="136"/>
      <c r="F37" s="136"/>
      <c r="G37" s="136"/>
    </row>
    <row r="38" spans="1:7" x14ac:dyDescent="0.25">
      <c r="A38" s="3"/>
    </row>
    <row r="39" spans="1:7" x14ac:dyDescent="0.25">
      <c r="A39" s="3"/>
    </row>
    <row r="40" spans="1:7" s="3" customFormat="1" x14ac:dyDescent="0.25">
      <c r="B40" s="144" t="s">
        <v>672</v>
      </c>
      <c r="C40" s="144" t="s">
        <v>675</v>
      </c>
      <c r="D40" s="144" t="s">
        <v>677</v>
      </c>
      <c r="E40" s="144" t="s">
        <v>678</v>
      </c>
      <c r="F40" s="144" t="s">
        <v>679</v>
      </c>
    </row>
    <row r="41" spans="1:7" x14ac:dyDescent="0.25">
      <c r="A41" s="3"/>
      <c r="B41" s="142" t="s">
        <v>245</v>
      </c>
      <c r="C41" s="145">
        <v>6</v>
      </c>
      <c r="D41" s="150"/>
      <c r="E41" s="150">
        <v>229497033</v>
      </c>
      <c r="F41" s="150">
        <v>229497033</v>
      </c>
    </row>
    <row r="42" spans="1:7" x14ac:dyDescent="0.25">
      <c r="A42" s="3"/>
      <c r="B42" s="142" t="s">
        <v>120</v>
      </c>
      <c r="C42" s="145">
        <v>9</v>
      </c>
      <c r="D42" s="150">
        <v>0</v>
      </c>
      <c r="E42" s="150">
        <v>171469501.66</v>
      </c>
      <c r="F42" s="150">
        <v>171469501.66</v>
      </c>
    </row>
    <row r="43" spans="1:7" x14ac:dyDescent="0.25">
      <c r="A43" s="3"/>
      <c r="B43" s="142" t="s">
        <v>246</v>
      </c>
      <c r="C43" s="145">
        <v>10</v>
      </c>
      <c r="D43" s="150">
        <v>336684120</v>
      </c>
      <c r="E43" s="150">
        <v>1796752788.47</v>
      </c>
      <c r="F43" s="150">
        <v>1796752788.4000001</v>
      </c>
    </row>
    <row r="44" spans="1:7" x14ac:dyDescent="0.25">
      <c r="A44" s="3"/>
      <c r="B44" s="142" t="s">
        <v>143</v>
      </c>
      <c r="C44" s="145">
        <v>33</v>
      </c>
      <c r="D44" s="150">
        <v>17431600</v>
      </c>
      <c r="E44" s="150">
        <v>959657477.86000001</v>
      </c>
      <c r="F44" s="150">
        <v>959657477.86000001</v>
      </c>
    </row>
    <row r="45" spans="1:7" x14ac:dyDescent="0.25">
      <c r="A45" s="3"/>
      <c r="B45" s="142" t="s">
        <v>119</v>
      </c>
      <c r="C45" s="145">
        <v>6</v>
      </c>
      <c r="D45" s="150">
        <v>745537896.83999991</v>
      </c>
      <c r="E45" s="150">
        <v>2289111880.21</v>
      </c>
      <c r="F45" s="150">
        <v>2289111880.21</v>
      </c>
    </row>
    <row r="46" spans="1:7" x14ac:dyDescent="0.25">
      <c r="A46" s="3"/>
      <c r="B46" s="142" t="s">
        <v>116</v>
      </c>
      <c r="C46" s="145">
        <v>3</v>
      </c>
      <c r="D46" s="150">
        <v>0</v>
      </c>
      <c r="E46" s="150">
        <v>922008649.12999988</v>
      </c>
      <c r="F46" s="150">
        <v>922008649.12999988</v>
      </c>
    </row>
    <row r="47" spans="1:7" x14ac:dyDescent="0.25">
      <c r="A47" s="3"/>
      <c r="B47" s="143" t="s">
        <v>673</v>
      </c>
      <c r="C47" s="146">
        <v>67</v>
      </c>
      <c r="D47" s="151">
        <v>1099653616.8399999</v>
      </c>
      <c r="E47" s="151">
        <v>6368497330.3299999</v>
      </c>
      <c r="F47" s="151">
        <v>6368497330.2600002</v>
      </c>
    </row>
    <row r="48" spans="1:7" x14ac:dyDescent="0.25">
      <c r="B48"/>
      <c r="C48"/>
      <c r="D48" s="150"/>
      <c r="E48" s="150"/>
      <c r="F48" s="150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</sheetData>
  <sheetProtection insertHyperlinks="0" sort="0" autoFilter="0"/>
  <mergeCells count="11">
    <mergeCell ref="A37:G37"/>
    <mergeCell ref="A1:G1"/>
    <mergeCell ref="A2:G2"/>
    <mergeCell ref="A5:B5"/>
    <mergeCell ref="A6:B6"/>
    <mergeCell ref="A7:B7"/>
    <mergeCell ref="C5:E5"/>
    <mergeCell ref="C6:E6"/>
    <mergeCell ref="C7:E7"/>
    <mergeCell ref="A9:G9"/>
    <mergeCell ref="A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landscape" r:id="rId3"/>
  <headerFooter>
    <oddFooter>Página &amp;P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B59"/>
  <sheetViews>
    <sheetView topLeftCell="A16" zoomScale="85" zoomScaleNormal="85" workbookViewId="0">
      <selection activeCell="E16" sqref="E16"/>
    </sheetView>
  </sheetViews>
  <sheetFormatPr baseColWidth="10" defaultRowHeight="15" x14ac:dyDescent="0.25"/>
  <cols>
    <col min="1" max="1" width="35.7109375" style="19" customWidth="1"/>
    <col min="2" max="2" width="71.140625" customWidth="1"/>
  </cols>
  <sheetData>
    <row r="1" spans="1:2" ht="26.25" customHeight="1" x14ac:dyDescent="0.25">
      <c r="A1" s="140" t="s">
        <v>224</v>
      </c>
      <c r="B1" s="140"/>
    </row>
    <row r="3" spans="1:2" ht="27.75" customHeight="1" x14ac:dyDescent="0.25">
      <c r="A3" s="20" t="s">
        <v>132</v>
      </c>
      <c r="B3" s="17" t="s">
        <v>238</v>
      </c>
    </row>
    <row r="4" spans="1:2" x14ac:dyDescent="0.25">
      <c r="A4" s="20" t="s">
        <v>114</v>
      </c>
      <c r="B4" s="15" t="s">
        <v>219</v>
      </c>
    </row>
    <row r="5" spans="1:2" x14ac:dyDescent="0.25">
      <c r="A5" s="20" t="s">
        <v>115</v>
      </c>
      <c r="B5" s="15" t="s">
        <v>220</v>
      </c>
    </row>
    <row r="6" spans="1:2" x14ac:dyDescent="0.25">
      <c r="A6" s="20" t="s">
        <v>122</v>
      </c>
      <c r="B6" s="15" t="s">
        <v>239</v>
      </c>
    </row>
    <row r="7" spans="1:2" x14ac:dyDescent="0.25">
      <c r="A7" s="20" t="s">
        <v>123</v>
      </c>
      <c r="B7" s="15" t="s">
        <v>240</v>
      </c>
    </row>
    <row r="8" spans="1:2" x14ac:dyDescent="0.25">
      <c r="A8" s="20" t="s">
        <v>148</v>
      </c>
      <c r="B8" s="15" t="s">
        <v>221</v>
      </c>
    </row>
    <row r="9" spans="1:2" x14ac:dyDescent="0.25">
      <c r="A9" s="20" t="s">
        <v>149</v>
      </c>
      <c r="B9" s="15" t="s">
        <v>222</v>
      </c>
    </row>
    <row r="10" spans="1:2" x14ac:dyDescent="0.25">
      <c r="A10" s="20" t="s">
        <v>121</v>
      </c>
      <c r="B10" s="15"/>
    </row>
    <row r="11" spans="1:2" x14ac:dyDescent="0.25">
      <c r="A11" s="20" t="s">
        <v>150</v>
      </c>
      <c r="B11" s="15" t="s">
        <v>241</v>
      </c>
    </row>
    <row r="12" spans="1:2" x14ac:dyDescent="0.25">
      <c r="A12" s="20" t="s">
        <v>151</v>
      </c>
      <c r="B12" s="15" t="s">
        <v>242</v>
      </c>
    </row>
    <row r="13" spans="1:2" x14ac:dyDescent="0.25">
      <c r="A13" s="20" t="s">
        <v>152</v>
      </c>
      <c r="B13" s="15" t="s">
        <v>243</v>
      </c>
    </row>
    <row r="14" spans="1:2" x14ac:dyDescent="0.25">
      <c r="A14" s="20" t="s">
        <v>153</v>
      </c>
      <c r="B14" s="15" t="s">
        <v>223</v>
      </c>
    </row>
    <row r="16" spans="1:2" ht="23.25" x14ac:dyDescent="0.25">
      <c r="A16" s="140" t="s">
        <v>225</v>
      </c>
      <c r="B16" s="140"/>
    </row>
    <row r="19" spans="1:2" x14ac:dyDescent="0.25">
      <c r="A19" s="20" t="s">
        <v>129</v>
      </c>
      <c r="B19" s="17" t="s">
        <v>244</v>
      </c>
    </row>
    <row r="20" spans="1:2" x14ac:dyDescent="0.25">
      <c r="A20" s="20" t="s">
        <v>142</v>
      </c>
      <c r="B20" s="15" t="s">
        <v>157</v>
      </c>
    </row>
    <row r="21" spans="1:2" x14ac:dyDescent="0.25">
      <c r="A21" s="20" t="s">
        <v>120</v>
      </c>
      <c r="B21" s="15" t="s">
        <v>158</v>
      </c>
    </row>
    <row r="22" spans="1:2" x14ac:dyDescent="0.25">
      <c r="A22" s="20" t="s">
        <v>119</v>
      </c>
      <c r="B22" s="15" t="s">
        <v>159</v>
      </c>
    </row>
    <row r="23" spans="1:2" x14ac:dyDescent="0.25">
      <c r="A23" s="20" t="s">
        <v>245</v>
      </c>
      <c r="B23" s="15"/>
    </row>
    <row r="24" spans="1:2" x14ac:dyDescent="0.25">
      <c r="A24" s="20" t="s">
        <v>143</v>
      </c>
      <c r="B24" s="15" t="s">
        <v>156</v>
      </c>
    </row>
    <row r="25" spans="1:2" x14ac:dyDescent="0.25">
      <c r="A25" s="20" t="s">
        <v>145</v>
      </c>
      <c r="B25" s="15" t="s">
        <v>155</v>
      </c>
    </row>
    <row r="26" spans="1:2" x14ac:dyDescent="0.25">
      <c r="A26" s="20" t="s">
        <v>246</v>
      </c>
      <c r="B26" s="15" t="s">
        <v>154</v>
      </c>
    </row>
    <row r="27" spans="1:2" x14ac:dyDescent="0.25">
      <c r="A27" s="20" t="s">
        <v>144</v>
      </c>
      <c r="B27" s="15"/>
    </row>
    <row r="28" spans="1:2" x14ac:dyDescent="0.25">
      <c r="A28" s="20" t="s">
        <v>116</v>
      </c>
      <c r="B28" s="15"/>
    </row>
    <row r="30" spans="1:2" ht="23.25" x14ac:dyDescent="0.25">
      <c r="A30" s="140" t="s">
        <v>229</v>
      </c>
      <c r="B30" s="140"/>
    </row>
    <row r="32" spans="1:2" x14ac:dyDescent="0.25">
      <c r="A32" s="20" t="s">
        <v>228</v>
      </c>
      <c r="B32" s="17"/>
    </row>
    <row r="33" spans="1:2" x14ac:dyDescent="0.25">
      <c r="A33" s="20" t="s">
        <v>226</v>
      </c>
      <c r="B33" s="15"/>
    </row>
    <row r="34" spans="1:2" x14ac:dyDescent="0.25">
      <c r="A34" s="20" t="s">
        <v>237</v>
      </c>
      <c r="B34" s="15"/>
    </row>
    <row r="35" spans="1:2" x14ac:dyDescent="0.25">
      <c r="A35" s="20" t="s">
        <v>227</v>
      </c>
      <c r="B35" s="15"/>
    </row>
    <row r="38" spans="1:2" ht="23.25" x14ac:dyDescent="0.25">
      <c r="A38" s="140" t="s">
        <v>347</v>
      </c>
      <c r="B38" s="140"/>
    </row>
    <row r="40" spans="1:2" x14ac:dyDescent="0.25">
      <c r="A40" s="20" t="s">
        <v>118</v>
      </c>
      <c r="B40" s="17"/>
    </row>
    <row r="41" spans="1:2" x14ac:dyDescent="0.25">
      <c r="A41" s="20" t="s">
        <v>226</v>
      </c>
      <c r="B41" s="15"/>
    </row>
    <row r="42" spans="1:2" x14ac:dyDescent="0.25">
      <c r="A42" s="20" t="s">
        <v>237</v>
      </c>
      <c r="B42" s="15"/>
    </row>
    <row r="43" spans="1:2" x14ac:dyDescent="0.25">
      <c r="A43" s="20" t="s">
        <v>227</v>
      </c>
      <c r="B43" s="15"/>
    </row>
    <row r="45" spans="1:2" ht="23.25" x14ac:dyDescent="0.25">
      <c r="A45" s="140" t="s">
        <v>356</v>
      </c>
      <c r="B45" s="140"/>
    </row>
    <row r="48" spans="1:2" x14ac:dyDescent="0.25">
      <c r="A48" s="20" t="s">
        <v>355</v>
      </c>
    </row>
    <row r="49" spans="1:1" x14ac:dyDescent="0.25">
      <c r="A49" s="20" t="s">
        <v>357</v>
      </c>
    </row>
    <row r="50" spans="1:1" x14ac:dyDescent="0.25">
      <c r="A50" s="20" t="s">
        <v>358</v>
      </c>
    </row>
    <row r="51" spans="1:1" x14ac:dyDescent="0.25">
      <c r="A51" s="20" t="s">
        <v>359</v>
      </c>
    </row>
    <row r="52" spans="1:1" x14ac:dyDescent="0.25">
      <c r="A52" s="20" t="s">
        <v>360</v>
      </c>
    </row>
    <row r="53" spans="1:1" x14ac:dyDescent="0.25">
      <c r="A53" s="20" t="s">
        <v>361</v>
      </c>
    </row>
    <row r="54" spans="1:1" x14ac:dyDescent="0.25">
      <c r="A54" s="20" t="s">
        <v>362</v>
      </c>
    </row>
    <row r="55" spans="1:1" x14ac:dyDescent="0.25">
      <c r="A55" s="20" t="s">
        <v>363</v>
      </c>
    </row>
    <row r="56" spans="1:1" x14ac:dyDescent="0.25">
      <c r="A56" s="20" t="s">
        <v>364</v>
      </c>
    </row>
    <row r="57" spans="1:1" x14ac:dyDescent="0.25">
      <c r="A57" s="20" t="s">
        <v>365</v>
      </c>
    </row>
    <row r="58" spans="1:1" x14ac:dyDescent="0.25">
      <c r="A58" s="20" t="s">
        <v>366</v>
      </c>
    </row>
    <row r="59" spans="1:1" x14ac:dyDescent="0.25">
      <c r="A59" s="20" t="s">
        <v>367</v>
      </c>
    </row>
  </sheetData>
  <sheetProtection algorithmName="SHA-512" hashValue="ulvHLZnByTRE7YMAm0XmOHG6iqm0gopb/ugzG5p3iMYKvg2KxqsvfsWEHkG+gXHd3TSrG105VB7rS7ESaPR3Nw==" saltValue="78Mu4W8SL3g7+keQ5dJypQ==" spinCount="100000" sheet="1" objects="1" scenarios="1"/>
  <mergeCells count="5">
    <mergeCell ref="A1:B1"/>
    <mergeCell ref="A16:B16"/>
    <mergeCell ref="A30:B30"/>
    <mergeCell ref="A38:B38"/>
    <mergeCell ref="A45:B4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F89"/>
  <sheetViews>
    <sheetView topLeftCell="A22" zoomScaleNormal="100" workbookViewId="0">
      <selection activeCell="C24" sqref="C24"/>
    </sheetView>
  </sheetViews>
  <sheetFormatPr baseColWidth="10" defaultRowHeight="15" x14ac:dyDescent="0.25"/>
  <cols>
    <col min="1" max="1" width="22.140625" bestFit="1" customWidth="1"/>
    <col min="2" max="2" width="18.7109375" style="23" bestFit="1" customWidth="1"/>
    <col min="3" max="3" width="22.140625" bestFit="1" customWidth="1"/>
    <col min="4" max="4" width="19.5703125" customWidth="1"/>
    <col min="5" max="5" width="72.140625" bestFit="1" customWidth="1"/>
    <col min="6" max="6" width="21.42578125" customWidth="1"/>
  </cols>
  <sheetData>
    <row r="1" spans="1:6" x14ac:dyDescent="0.25">
      <c r="A1" s="1" t="s">
        <v>0</v>
      </c>
      <c r="B1" s="21" t="s">
        <v>161</v>
      </c>
      <c r="C1" s="1" t="s">
        <v>0</v>
      </c>
      <c r="D1" s="1" t="s">
        <v>166</v>
      </c>
      <c r="E1" s="1" t="s">
        <v>117</v>
      </c>
      <c r="F1" s="24" t="s">
        <v>107</v>
      </c>
    </row>
    <row r="2" spans="1:6" x14ac:dyDescent="0.25">
      <c r="A2" s="16" t="s">
        <v>160</v>
      </c>
      <c r="B2" s="22">
        <v>1</v>
      </c>
      <c r="C2" s="16" t="s">
        <v>160</v>
      </c>
      <c r="D2" s="15" t="s">
        <v>162</v>
      </c>
      <c r="E2" s="15" t="s">
        <v>218</v>
      </c>
      <c r="F2" s="15" t="s">
        <v>314</v>
      </c>
    </row>
    <row r="3" spans="1:6" x14ac:dyDescent="0.25">
      <c r="A3" s="16" t="s">
        <v>26</v>
      </c>
      <c r="B3" s="22">
        <v>2</v>
      </c>
      <c r="C3" s="16" t="s">
        <v>26</v>
      </c>
      <c r="D3" s="15" t="s">
        <v>162</v>
      </c>
      <c r="E3" s="15" t="s">
        <v>78</v>
      </c>
      <c r="F3" s="15" t="s">
        <v>315</v>
      </c>
    </row>
    <row r="4" spans="1:6" x14ac:dyDescent="0.25">
      <c r="A4" s="16" t="s">
        <v>22</v>
      </c>
      <c r="B4" s="22">
        <v>3</v>
      </c>
      <c r="C4" s="16" t="s">
        <v>22</v>
      </c>
      <c r="D4" s="15" t="s">
        <v>162</v>
      </c>
      <c r="E4" s="15" t="s">
        <v>74</v>
      </c>
      <c r="F4" s="15" t="s">
        <v>316</v>
      </c>
    </row>
    <row r="5" spans="1:6" x14ac:dyDescent="0.25">
      <c r="A5" s="16" t="s">
        <v>24</v>
      </c>
      <c r="B5" s="22">
        <v>4</v>
      </c>
      <c r="C5" s="16" t="s">
        <v>24</v>
      </c>
      <c r="D5" s="15" t="s">
        <v>162</v>
      </c>
      <c r="E5" s="15" t="s">
        <v>76</v>
      </c>
      <c r="F5" s="15" t="s">
        <v>317</v>
      </c>
    </row>
    <row r="6" spans="1:6" x14ac:dyDescent="0.25">
      <c r="A6" s="16" t="s">
        <v>19</v>
      </c>
      <c r="B6" s="22">
        <v>5</v>
      </c>
      <c r="C6" s="16" t="s">
        <v>19</v>
      </c>
      <c r="D6" s="15" t="s">
        <v>162</v>
      </c>
      <c r="E6" s="15" t="s">
        <v>71</v>
      </c>
      <c r="F6" s="15" t="s">
        <v>318</v>
      </c>
    </row>
    <row r="7" spans="1:6" x14ac:dyDescent="0.25">
      <c r="A7" s="16" t="s">
        <v>2</v>
      </c>
      <c r="B7" s="22">
        <v>6</v>
      </c>
      <c r="C7" s="16" t="s">
        <v>2</v>
      </c>
      <c r="D7" s="15" t="s">
        <v>162</v>
      </c>
      <c r="E7" s="15" t="s">
        <v>54</v>
      </c>
      <c r="F7" s="15" t="s">
        <v>314</v>
      </c>
    </row>
    <row r="8" spans="1:6" x14ac:dyDescent="0.25">
      <c r="A8" s="16" t="s">
        <v>20</v>
      </c>
      <c r="B8" s="22">
        <v>8</v>
      </c>
      <c r="C8" s="16" t="s">
        <v>20</v>
      </c>
      <c r="D8" s="15" t="s">
        <v>162</v>
      </c>
      <c r="E8" s="15" t="s">
        <v>72</v>
      </c>
      <c r="F8" s="15" t="s">
        <v>319</v>
      </c>
    </row>
    <row r="9" spans="1:6" x14ac:dyDescent="0.25">
      <c r="A9" s="16" t="s">
        <v>38</v>
      </c>
      <c r="B9" s="22">
        <v>10</v>
      </c>
      <c r="C9" s="16" t="s">
        <v>38</v>
      </c>
      <c r="D9" s="15" t="s">
        <v>163</v>
      </c>
      <c r="E9" s="15" t="s">
        <v>90</v>
      </c>
      <c r="F9" s="15" t="s">
        <v>320</v>
      </c>
    </row>
    <row r="10" spans="1:6" x14ac:dyDescent="0.25">
      <c r="A10" s="16" t="s">
        <v>40</v>
      </c>
      <c r="B10" s="22">
        <v>11</v>
      </c>
      <c r="C10" s="16" t="s">
        <v>40</v>
      </c>
      <c r="D10" s="15" t="s">
        <v>171</v>
      </c>
      <c r="E10" s="15" t="s">
        <v>92</v>
      </c>
      <c r="F10" s="15" t="s">
        <v>321</v>
      </c>
    </row>
    <row r="11" spans="1:6" x14ac:dyDescent="0.25">
      <c r="A11" s="16" t="s">
        <v>52</v>
      </c>
      <c r="B11" s="22">
        <v>12</v>
      </c>
      <c r="C11" s="16" t="s">
        <v>52</v>
      </c>
      <c r="D11" s="15" t="s">
        <v>169</v>
      </c>
      <c r="E11" s="15" t="s">
        <v>104</v>
      </c>
      <c r="F11" s="15" t="s">
        <v>322</v>
      </c>
    </row>
    <row r="12" spans="1:6" x14ac:dyDescent="0.25">
      <c r="A12" s="16" t="s">
        <v>3</v>
      </c>
      <c r="B12" s="22">
        <v>13</v>
      </c>
      <c r="C12" s="16" t="s">
        <v>3</v>
      </c>
      <c r="D12" s="15" t="s">
        <v>163</v>
      </c>
      <c r="E12" s="15" t="s">
        <v>55</v>
      </c>
      <c r="F12" s="15" t="s">
        <v>178</v>
      </c>
    </row>
    <row r="13" spans="1:6" x14ac:dyDescent="0.25">
      <c r="A13" s="16" t="s">
        <v>4</v>
      </c>
      <c r="B13" s="22">
        <v>15</v>
      </c>
      <c r="C13" s="16" t="s">
        <v>4</v>
      </c>
      <c r="D13" s="15" t="s">
        <v>164</v>
      </c>
      <c r="E13" s="15" t="s">
        <v>56</v>
      </c>
      <c r="F13" s="15" t="s">
        <v>179</v>
      </c>
    </row>
    <row r="14" spans="1:6" x14ac:dyDescent="0.25">
      <c r="A14" s="16" t="s">
        <v>5</v>
      </c>
      <c r="B14" s="22">
        <v>20</v>
      </c>
      <c r="C14" s="16" t="s">
        <v>5</v>
      </c>
      <c r="D14" s="15" t="s">
        <v>165</v>
      </c>
      <c r="E14" s="15" t="s">
        <v>57</v>
      </c>
      <c r="F14" s="15" t="s">
        <v>183</v>
      </c>
    </row>
    <row r="15" spans="1:6" x14ac:dyDescent="0.25">
      <c r="A15" s="16" t="s">
        <v>6</v>
      </c>
      <c r="B15" s="22">
        <v>21</v>
      </c>
      <c r="C15" s="16" t="s">
        <v>6</v>
      </c>
      <c r="D15" s="15" t="s">
        <v>167</v>
      </c>
      <c r="E15" s="15" t="s">
        <v>58</v>
      </c>
      <c r="F15" s="15" t="s">
        <v>184</v>
      </c>
    </row>
    <row r="16" spans="1:6" x14ac:dyDescent="0.25">
      <c r="A16" s="16" t="s">
        <v>7</v>
      </c>
      <c r="B16" s="22">
        <v>23</v>
      </c>
      <c r="C16" s="16" t="s">
        <v>7</v>
      </c>
      <c r="D16" s="15" t="s">
        <v>168</v>
      </c>
      <c r="E16" s="15" t="s">
        <v>59</v>
      </c>
      <c r="F16" s="15" t="s">
        <v>186</v>
      </c>
    </row>
    <row r="17" spans="1:6" x14ac:dyDescent="0.25">
      <c r="A17" s="16" t="s">
        <v>8</v>
      </c>
      <c r="B17" s="22">
        <v>24</v>
      </c>
      <c r="C17" s="16" t="s">
        <v>8</v>
      </c>
      <c r="D17" s="15" t="s">
        <v>169</v>
      </c>
      <c r="E17" s="15" t="s">
        <v>60</v>
      </c>
      <c r="F17" s="15" t="s">
        <v>187</v>
      </c>
    </row>
    <row r="18" spans="1:6" x14ac:dyDescent="0.25">
      <c r="A18" s="16" t="s">
        <v>9</v>
      </c>
      <c r="B18" s="22">
        <v>26</v>
      </c>
      <c r="C18" s="16" t="s">
        <v>9</v>
      </c>
      <c r="D18" s="15" t="s">
        <v>163</v>
      </c>
      <c r="E18" s="15" t="s">
        <v>61</v>
      </c>
      <c r="F18" s="15" t="s">
        <v>323</v>
      </c>
    </row>
    <row r="19" spans="1:6" x14ac:dyDescent="0.25">
      <c r="A19" s="16" t="s">
        <v>10</v>
      </c>
      <c r="B19" s="22">
        <v>27</v>
      </c>
      <c r="C19" s="16" t="s">
        <v>10</v>
      </c>
      <c r="D19" s="15" t="s">
        <v>168</v>
      </c>
      <c r="E19" s="15" t="s">
        <v>62</v>
      </c>
      <c r="F19" s="15" t="s">
        <v>190</v>
      </c>
    </row>
    <row r="20" spans="1:6" x14ac:dyDescent="0.25">
      <c r="A20" s="16" t="s">
        <v>11</v>
      </c>
      <c r="B20" s="22">
        <v>28</v>
      </c>
      <c r="C20" s="16" t="s">
        <v>11</v>
      </c>
      <c r="D20" s="15" t="s">
        <v>167</v>
      </c>
      <c r="E20" s="15" t="s">
        <v>63</v>
      </c>
      <c r="F20" s="15" t="s">
        <v>189</v>
      </c>
    </row>
    <row r="21" spans="1:6" x14ac:dyDescent="0.25">
      <c r="A21" s="16" t="s">
        <v>12</v>
      </c>
      <c r="B21" s="22">
        <v>29</v>
      </c>
      <c r="C21" s="16" t="s">
        <v>12</v>
      </c>
      <c r="D21" s="15" t="s">
        <v>167</v>
      </c>
      <c r="E21" s="15" t="s">
        <v>64</v>
      </c>
      <c r="F21" s="15" t="s">
        <v>191</v>
      </c>
    </row>
    <row r="22" spans="1:6" x14ac:dyDescent="0.25">
      <c r="A22" s="16" t="s">
        <v>13</v>
      </c>
      <c r="B22" s="22">
        <v>34</v>
      </c>
      <c r="C22" s="16" t="s">
        <v>13</v>
      </c>
      <c r="D22" s="15" t="s">
        <v>165</v>
      </c>
      <c r="E22" s="15" t="s">
        <v>65</v>
      </c>
      <c r="F22" s="15" t="s">
        <v>195</v>
      </c>
    </row>
    <row r="23" spans="1:6" x14ac:dyDescent="0.25">
      <c r="A23" s="16" t="s">
        <v>14</v>
      </c>
      <c r="B23" s="22">
        <v>35</v>
      </c>
      <c r="C23" s="16" t="s">
        <v>14</v>
      </c>
      <c r="D23" s="15" t="s">
        <v>170</v>
      </c>
      <c r="E23" s="15" t="s">
        <v>66</v>
      </c>
      <c r="F23" s="15" t="s">
        <v>196</v>
      </c>
    </row>
    <row r="24" spans="1:6" x14ac:dyDescent="0.25">
      <c r="A24" s="16" t="s">
        <v>15</v>
      </c>
      <c r="B24" s="22">
        <v>38</v>
      </c>
      <c r="C24" s="16" t="s">
        <v>15</v>
      </c>
      <c r="D24" s="15" t="s">
        <v>163</v>
      </c>
      <c r="E24" s="15" t="s">
        <v>67</v>
      </c>
      <c r="F24" s="15" t="s">
        <v>197</v>
      </c>
    </row>
    <row r="25" spans="1:6" x14ac:dyDescent="0.25">
      <c r="A25" s="16" t="s">
        <v>16</v>
      </c>
      <c r="B25" s="22">
        <v>39</v>
      </c>
      <c r="C25" s="16" t="s">
        <v>16</v>
      </c>
      <c r="D25" s="15" t="s">
        <v>168</v>
      </c>
      <c r="E25" s="15" t="s">
        <v>68</v>
      </c>
      <c r="F25" s="15" t="s">
        <v>198</v>
      </c>
    </row>
    <row r="26" spans="1:6" x14ac:dyDescent="0.25">
      <c r="A26" s="16" t="s">
        <v>17</v>
      </c>
      <c r="B26" s="22">
        <v>42</v>
      </c>
      <c r="C26" s="16" t="s">
        <v>17</v>
      </c>
      <c r="D26" s="15" t="s">
        <v>169</v>
      </c>
      <c r="E26" s="15" t="s">
        <v>69</v>
      </c>
      <c r="F26" s="15" t="s">
        <v>201</v>
      </c>
    </row>
    <row r="27" spans="1:6" x14ac:dyDescent="0.25">
      <c r="A27" s="16" t="s">
        <v>18</v>
      </c>
      <c r="B27" s="22">
        <v>44</v>
      </c>
      <c r="C27" s="16" t="s">
        <v>18</v>
      </c>
      <c r="D27" s="15" t="s">
        <v>167</v>
      </c>
      <c r="E27" s="15" t="s">
        <v>70</v>
      </c>
      <c r="F27" s="15" t="s">
        <v>200</v>
      </c>
    </row>
    <row r="28" spans="1:6" x14ac:dyDescent="0.25">
      <c r="A28" s="16" t="s">
        <v>34</v>
      </c>
      <c r="B28" s="22">
        <v>45</v>
      </c>
      <c r="C28" s="16" t="s">
        <v>34</v>
      </c>
      <c r="D28" s="15" t="s">
        <v>163</v>
      </c>
      <c r="E28" s="15" t="s">
        <v>86</v>
      </c>
      <c r="F28" s="15" t="s">
        <v>324</v>
      </c>
    </row>
    <row r="29" spans="1:6" x14ac:dyDescent="0.25">
      <c r="A29" s="16" t="s">
        <v>31</v>
      </c>
      <c r="B29" s="22">
        <v>48</v>
      </c>
      <c r="C29" s="16" t="s">
        <v>31</v>
      </c>
      <c r="D29" s="15" t="s">
        <v>171</v>
      </c>
      <c r="E29" s="15" t="s">
        <v>83</v>
      </c>
      <c r="F29" s="15" t="s">
        <v>325</v>
      </c>
    </row>
    <row r="30" spans="1:6" x14ac:dyDescent="0.25">
      <c r="A30" s="16" t="s">
        <v>32</v>
      </c>
      <c r="B30" s="22">
        <v>49</v>
      </c>
      <c r="C30" s="16" t="s">
        <v>32</v>
      </c>
      <c r="D30" s="15" t="s">
        <v>163</v>
      </c>
      <c r="E30" s="15" t="s">
        <v>84</v>
      </c>
      <c r="F30" s="15" t="s">
        <v>326</v>
      </c>
    </row>
    <row r="31" spans="1:6" x14ac:dyDescent="0.25">
      <c r="A31" s="16" t="s">
        <v>33</v>
      </c>
      <c r="B31" s="22">
        <v>53</v>
      </c>
      <c r="C31" s="16" t="s">
        <v>33</v>
      </c>
      <c r="D31" s="15" t="s">
        <v>163</v>
      </c>
      <c r="E31" s="15" t="s">
        <v>85</v>
      </c>
      <c r="F31" s="15" t="s">
        <v>327</v>
      </c>
    </row>
    <row r="32" spans="1:6" x14ac:dyDescent="0.25">
      <c r="A32" s="16" t="s">
        <v>35</v>
      </c>
      <c r="B32" s="22">
        <v>57</v>
      </c>
      <c r="C32" s="16" t="s">
        <v>35</v>
      </c>
      <c r="D32" s="15" t="s">
        <v>163</v>
      </c>
      <c r="E32" s="15" t="s">
        <v>87</v>
      </c>
      <c r="F32" s="15" t="s">
        <v>328</v>
      </c>
    </row>
    <row r="33" spans="1:6" x14ac:dyDescent="0.25">
      <c r="A33" s="16" t="s">
        <v>36</v>
      </c>
      <c r="B33" s="22">
        <v>58</v>
      </c>
      <c r="C33" s="16" t="s">
        <v>36</v>
      </c>
      <c r="D33" s="15" t="s">
        <v>164</v>
      </c>
      <c r="E33" s="15" t="s">
        <v>88</v>
      </c>
      <c r="F33" s="15" t="s">
        <v>326</v>
      </c>
    </row>
    <row r="34" spans="1:6" x14ac:dyDescent="0.25">
      <c r="A34" s="16" t="s">
        <v>30</v>
      </c>
      <c r="B34" s="22">
        <v>59</v>
      </c>
      <c r="C34" s="16" t="s">
        <v>30</v>
      </c>
      <c r="D34" s="15" t="s">
        <v>165</v>
      </c>
      <c r="E34" s="15" t="s">
        <v>82</v>
      </c>
      <c r="F34" s="15" t="s">
        <v>329</v>
      </c>
    </row>
    <row r="35" spans="1:6" x14ac:dyDescent="0.25">
      <c r="A35" s="16" t="s">
        <v>27</v>
      </c>
      <c r="B35" s="22">
        <v>64</v>
      </c>
      <c r="C35" s="16" t="s">
        <v>27</v>
      </c>
      <c r="D35" s="15" t="s">
        <v>162</v>
      </c>
      <c r="E35" s="15" t="s">
        <v>79</v>
      </c>
      <c r="F35" s="15" t="s">
        <v>330</v>
      </c>
    </row>
    <row r="36" spans="1:6" x14ac:dyDescent="0.25">
      <c r="A36" s="16" t="s">
        <v>29</v>
      </c>
      <c r="B36" s="22">
        <v>69</v>
      </c>
      <c r="C36" s="16" t="s">
        <v>29</v>
      </c>
      <c r="D36" s="15" t="s">
        <v>163</v>
      </c>
      <c r="E36" s="15" t="s">
        <v>81</v>
      </c>
      <c r="F36" s="15" t="s">
        <v>311</v>
      </c>
    </row>
    <row r="37" spans="1:6" x14ac:dyDescent="0.25">
      <c r="A37" s="16" t="s">
        <v>21</v>
      </c>
      <c r="B37" s="22">
        <v>71</v>
      </c>
      <c r="C37" s="16" t="s">
        <v>21</v>
      </c>
      <c r="D37" s="15" t="s">
        <v>162</v>
      </c>
      <c r="E37" s="15" t="s">
        <v>73</v>
      </c>
      <c r="F37" s="15" t="s">
        <v>331</v>
      </c>
    </row>
    <row r="38" spans="1:6" x14ac:dyDescent="0.25">
      <c r="A38" s="16" t="s">
        <v>41</v>
      </c>
      <c r="B38" s="22">
        <v>72</v>
      </c>
      <c r="C38" s="16" t="s">
        <v>41</v>
      </c>
      <c r="D38" s="15" t="s">
        <v>168</v>
      </c>
      <c r="E38" s="15" t="s">
        <v>93</v>
      </c>
      <c r="F38" s="15" t="s">
        <v>332</v>
      </c>
    </row>
    <row r="39" spans="1:6" x14ac:dyDescent="0.25">
      <c r="A39" s="16" t="s">
        <v>37</v>
      </c>
      <c r="B39" s="22">
        <v>73</v>
      </c>
      <c r="C39" s="16" t="s">
        <v>37</v>
      </c>
      <c r="D39" s="15" t="s">
        <v>168</v>
      </c>
      <c r="E39" s="15" t="s">
        <v>89</v>
      </c>
      <c r="F39" s="15" t="s">
        <v>333</v>
      </c>
    </row>
    <row r="40" spans="1:6" x14ac:dyDescent="0.25">
      <c r="A40" s="16" t="s">
        <v>39</v>
      </c>
      <c r="B40" s="22">
        <v>74</v>
      </c>
      <c r="C40" s="16" t="s">
        <v>39</v>
      </c>
      <c r="D40" s="15" t="s">
        <v>164</v>
      </c>
      <c r="E40" s="15" t="s">
        <v>91</v>
      </c>
      <c r="F40" s="15" t="s">
        <v>334</v>
      </c>
    </row>
    <row r="41" spans="1:6" x14ac:dyDescent="0.25">
      <c r="A41" s="16" t="s">
        <v>42</v>
      </c>
      <c r="B41" s="22">
        <v>75</v>
      </c>
      <c r="C41" s="16" t="s">
        <v>42</v>
      </c>
      <c r="D41" s="15" t="s">
        <v>164</v>
      </c>
      <c r="E41" s="15" t="s">
        <v>94</v>
      </c>
      <c r="F41" s="15" t="s">
        <v>335</v>
      </c>
    </row>
    <row r="42" spans="1:6" x14ac:dyDescent="0.25">
      <c r="A42" s="16" t="s">
        <v>25</v>
      </c>
      <c r="B42" s="22">
        <v>79</v>
      </c>
      <c r="C42" s="16" t="s">
        <v>25</v>
      </c>
      <c r="D42" s="15" t="s">
        <v>162</v>
      </c>
      <c r="E42" s="15" t="s">
        <v>77</v>
      </c>
      <c r="F42" s="15" t="s">
        <v>197</v>
      </c>
    </row>
    <row r="43" spans="1:6" x14ac:dyDescent="0.25">
      <c r="A43" s="16" t="s">
        <v>23</v>
      </c>
      <c r="B43" s="22">
        <v>80</v>
      </c>
      <c r="C43" s="16" t="s">
        <v>23</v>
      </c>
      <c r="D43" s="15" t="s">
        <v>162</v>
      </c>
      <c r="E43" s="15" t="s">
        <v>75</v>
      </c>
      <c r="F43" s="15" t="s">
        <v>336</v>
      </c>
    </row>
    <row r="44" spans="1:6" x14ac:dyDescent="0.25">
      <c r="A44" s="16" t="s">
        <v>47</v>
      </c>
      <c r="B44" s="22">
        <v>82</v>
      </c>
      <c r="C44" s="16" t="s">
        <v>47</v>
      </c>
      <c r="D44" s="15" t="s">
        <v>170</v>
      </c>
      <c r="E44" s="15" t="s">
        <v>99</v>
      </c>
      <c r="F44" s="15" t="s">
        <v>337</v>
      </c>
    </row>
    <row r="45" spans="1:6" x14ac:dyDescent="0.25">
      <c r="A45" s="16" t="s">
        <v>50</v>
      </c>
      <c r="B45" s="22">
        <v>87</v>
      </c>
      <c r="C45" s="16" t="s">
        <v>50</v>
      </c>
      <c r="D45" s="15" t="s">
        <v>165</v>
      </c>
      <c r="E45" s="15" t="s">
        <v>102</v>
      </c>
      <c r="F45" s="15" t="s">
        <v>338</v>
      </c>
    </row>
    <row r="46" spans="1:6" x14ac:dyDescent="0.25">
      <c r="A46" s="16" t="s">
        <v>53</v>
      </c>
      <c r="B46" s="22">
        <v>88</v>
      </c>
      <c r="C46" s="16" t="s">
        <v>53</v>
      </c>
      <c r="D46" s="15" t="s">
        <v>167</v>
      </c>
      <c r="E46" s="15" t="s">
        <v>105</v>
      </c>
      <c r="F46" s="15" t="s">
        <v>339</v>
      </c>
    </row>
    <row r="47" spans="1:6" x14ac:dyDescent="0.25">
      <c r="A47" s="16" t="s">
        <v>49</v>
      </c>
      <c r="B47" s="22">
        <v>89</v>
      </c>
      <c r="C47" s="16" t="s">
        <v>49</v>
      </c>
      <c r="D47" s="15" t="s">
        <v>168</v>
      </c>
      <c r="E47" s="15" t="s">
        <v>101</v>
      </c>
      <c r="F47" s="15" t="s">
        <v>340</v>
      </c>
    </row>
    <row r="48" spans="1:6" x14ac:dyDescent="0.25">
      <c r="A48" s="16" t="s">
        <v>48</v>
      </c>
      <c r="B48" s="22">
        <v>90</v>
      </c>
      <c r="C48" s="16" t="s">
        <v>48</v>
      </c>
      <c r="D48" s="15" t="s">
        <v>171</v>
      </c>
      <c r="E48" s="15" t="s">
        <v>100</v>
      </c>
      <c r="F48" s="15" t="s">
        <v>341</v>
      </c>
    </row>
    <row r="49" spans="1:6" x14ac:dyDescent="0.25">
      <c r="A49" s="16" t="s">
        <v>43</v>
      </c>
      <c r="B49" s="22">
        <v>91</v>
      </c>
      <c r="C49" s="16" t="s">
        <v>43</v>
      </c>
      <c r="D49" s="15" t="s">
        <v>170</v>
      </c>
      <c r="E49" s="15" t="s">
        <v>95</v>
      </c>
      <c r="F49" s="15" t="s">
        <v>342</v>
      </c>
    </row>
    <row r="50" spans="1:6" x14ac:dyDescent="0.25">
      <c r="A50" s="16" t="s">
        <v>44</v>
      </c>
      <c r="B50" s="22">
        <v>92</v>
      </c>
      <c r="C50" s="16" t="s">
        <v>44</v>
      </c>
      <c r="D50" s="15" t="s">
        <v>169</v>
      </c>
      <c r="E50" s="15" t="s">
        <v>96</v>
      </c>
      <c r="F50" s="15" t="s">
        <v>343</v>
      </c>
    </row>
    <row r="51" spans="1:6" x14ac:dyDescent="0.25">
      <c r="A51" s="16" t="s">
        <v>45</v>
      </c>
      <c r="B51" s="22">
        <v>93</v>
      </c>
      <c r="C51" s="16" t="s">
        <v>45</v>
      </c>
      <c r="D51" s="15" t="s">
        <v>165</v>
      </c>
      <c r="E51" s="15" t="s">
        <v>97</v>
      </c>
      <c r="F51" s="15" t="s">
        <v>342</v>
      </c>
    </row>
    <row r="52" spans="1:6" x14ac:dyDescent="0.25">
      <c r="A52" s="16" t="s">
        <v>46</v>
      </c>
      <c r="B52" s="22">
        <v>94</v>
      </c>
      <c r="C52" s="16" t="s">
        <v>46</v>
      </c>
      <c r="D52" s="15" t="s">
        <v>171</v>
      </c>
      <c r="E52" s="15" t="s">
        <v>98</v>
      </c>
      <c r="F52" s="15" t="s">
        <v>312</v>
      </c>
    </row>
    <row r="53" spans="1:6" x14ac:dyDescent="0.25">
      <c r="A53" s="16" t="s">
        <v>51</v>
      </c>
      <c r="B53" s="22">
        <v>95</v>
      </c>
      <c r="C53" s="16" t="s">
        <v>51</v>
      </c>
      <c r="D53" s="15" t="s">
        <v>163</v>
      </c>
      <c r="E53" s="15" t="s">
        <v>103</v>
      </c>
      <c r="F53" s="15" t="s">
        <v>313</v>
      </c>
    </row>
    <row r="54" spans="1:6" x14ac:dyDescent="0.25">
      <c r="A54" s="16" t="s">
        <v>250</v>
      </c>
      <c r="B54" s="22">
        <v>13</v>
      </c>
      <c r="C54" s="16" t="s">
        <v>250</v>
      </c>
      <c r="D54" s="15" t="s">
        <v>163</v>
      </c>
      <c r="E54" s="15" t="s">
        <v>283</v>
      </c>
      <c r="F54" s="15" t="s">
        <v>178</v>
      </c>
    </row>
    <row r="55" spans="1:6" x14ac:dyDescent="0.25">
      <c r="A55" s="16" t="s">
        <v>251</v>
      </c>
      <c r="B55" s="22">
        <v>15</v>
      </c>
      <c r="C55" s="16" t="s">
        <v>251</v>
      </c>
      <c r="D55" s="15" t="s">
        <v>164</v>
      </c>
      <c r="E55" s="15" t="s">
        <v>284</v>
      </c>
      <c r="F55" s="15" t="s">
        <v>179</v>
      </c>
    </row>
    <row r="56" spans="1:6" x14ac:dyDescent="0.25">
      <c r="A56" s="16" t="s">
        <v>252</v>
      </c>
      <c r="B56" s="22">
        <v>72</v>
      </c>
      <c r="C56" s="16" t="s">
        <v>252</v>
      </c>
      <c r="D56" s="15" t="s">
        <v>168</v>
      </c>
      <c r="E56" s="15" t="s">
        <v>285</v>
      </c>
      <c r="F56" s="15" t="s">
        <v>180</v>
      </c>
    </row>
    <row r="57" spans="1:6" x14ac:dyDescent="0.25">
      <c r="A57" s="16" t="s">
        <v>253</v>
      </c>
      <c r="B57" s="22">
        <v>95</v>
      </c>
      <c r="C57" s="16" t="s">
        <v>253</v>
      </c>
      <c r="D57" s="15" t="s">
        <v>163</v>
      </c>
      <c r="E57" s="15" t="s">
        <v>286</v>
      </c>
      <c r="F57" s="15" t="s">
        <v>181</v>
      </c>
    </row>
    <row r="58" spans="1:6" x14ac:dyDescent="0.25">
      <c r="A58" s="16" t="s">
        <v>254</v>
      </c>
      <c r="B58" s="22">
        <v>91</v>
      </c>
      <c r="C58" s="16" t="s">
        <v>254</v>
      </c>
      <c r="D58" s="15" t="s">
        <v>170</v>
      </c>
      <c r="E58" s="15" t="s">
        <v>287</v>
      </c>
      <c r="F58" s="15" t="s">
        <v>182</v>
      </c>
    </row>
    <row r="59" spans="1:6" x14ac:dyDescent="0.25">
      <c r="A59" s="16" t="s">
        <v>255</v>
      </c>
      <c r="B59" s="22">
        <v>20</v>
      </c>
      <c r="C59" s="16" t="s">
        <v>255</v>
      </c>
      <c r="D59" s="15" t="s">
        <v>165</v>
      </c>
      <c r="E59" s="15" t="s">
        <v>288</v>
      </c>
      <c r="F59" s="15" t="s">
        <v>183</v>
      </c>
    </row>
    <row r="60" spans="1:6" x14ac:dyDescent="0.25">
      <c r="A60" s="16" t="s">
        <v>256</v>
      </c>
      <c r="B60" s="22">
        <v>21</v>
      </c>
      <c r="C60" s="16" t="s">
        <v>256</v>
      </c>
      <c r="D60" s="15" t="s">
        <v>167</v>
      </c>
      <c r="E60" s="15" t="s">
        <v>289</v>
      </c>
      <c r="F60" s="15" t="s">
        <v>184</v>
      </c>
    </row>
    <row r="61" spans="1:6" x14ac:dyDescent="0.25">
      <c r="A61" s="16" t="s">
        <v>257</v>
      </c>
      <c r="B61" s="22">
        <v>90</v>
      </c>
      <c r="C61" s="16" t="s">
        <v>257</v>
      </c>
      <c r="D61" s="15" t="s">
        <v>171</v>
      </c>
      <c r="E61" s="15" t="s">
        <v>290</v>
      </c>
      <c r="F61" s="15" t="s">
        <v>185</v>
      </c>
    </row>
    <row r="62" spans="1:6" x14ac:dyDescent="0.25">
      <c r="A62" s="16" t="s">
        <v>258</v>
      </c>
      <c r="B62" s="22">
        <v>23</v>
      </c>
      <c r="C62" s="16" t="s">
        <v>258</v>
      </c>
      <c r="D62" s="15" t="s">
        <v>168</v>
      </c>
      <c r="E62" s="15" t="s">
        <v>291</v>
      </c>
      <c r="F62" s="15" t="s">
        <v>186</v>
      </c>
    </row>
    <row r="63" spans="1:6" x14ac:dyDescent="0.25">
      <c r="A63" s="16" t="s">
        <v>259</v>
      </c>
      <c r="B63" s="22">
        <v>24</v>
      </c>
      <c r="C63" s="16" t="s">
        <v>259</v>
      </c>
      <c r="D63" s="15" t="s">
        <v>169</v>
      </c>
      <c r="E63" s="15" t="s">
        <v>292</v>
      </c>
      <c r="F63" s="15" t="s">
        <v>187</v>
      </c>
    </row>
    <row r="64" spans="1:6" x14ac:dyDescent="0.25">
      <c r="A64" s="16" t="s">
        <v>260</v>
      </c>
      <c r="B64" s="22">
        <v>92</v>
      </c>
      <c r="C64" s="16" t="s">
        <v>260</v>
      </c>
      <c r="D64" s="15" t="s">
        <v>169</v>
      </c>
      <c r="E64" s="15" t="s">
        <v>293</v>
      </c>
      <c r="F64" s="15" t="s">
        <v>188</v>
      </c>
    </row>
    <row r="65" spans="1:6" x14ac:dyDescent="0.25">
      <c r="A65" s="16" t="s">
        <v>261</v>
      </c>
      <c r="B65" s="22">
        <v>28</v>
      </c>
      <c r="C65" s="16" t="s">
        <v>261</v>
      </c>
      <c r="D65" s="15" t="s">
        <v>163</v>
      </c>
      <c r="E65" s="15" t="s">
        <v>294</v>
      </c>
      <c r="F65" s="15" t="s">
        <v>189</v>
      </c>
    </row>
    <row r="66" spans="1:6" x14ac:dyDescent="0.25">
      <c r="A66" s="16" t="s">
        <v>262</v>
      </c>
      <c r="B66" s="22">
        <v>27</v>
      </c>
      <c r="C66" s="16" t="s">
        <v>262</v>
      </c>
      <c r="D66" s="15" t="s">
        <v>168</v>
      </c>
      <c r="E66" s="15" t="s">
        <v>295</v>
      </c>
      <c r="F66" s="15" t="s">
        <v>190</v>
      </c>
    </row>
    <row r="67" spans="1:6" x14ac:dyDescent="0.25">
      <c r="A67" s="16" t="s">
        <v>263</v>
      </c>
      <c r="B67" s="22">
        <v>29</v>
      </c>
      <c r="C67" s="16" t="s">
        <v>263</v>
      </c>
      <c r="D67" s="15" t="s">
        <v>167</v>
      </c>
      <c r="E67" s="15" t="s">
        <v>296</v>
      </c>
      <c r="F67" s="15" t="s">
        <v>191</v>
      </c>
    </row>
    <row r="68" spans="1:6" x14ac:dyDescent="0.25">
      <c r="A68" s="16" t="s">
        <v>264</v>
      </c>
      <c r="B68" s="22">
        <v>89</v>
      </c>
      <c r="C68" s="16" t="s">
        <v>264</v>
      </c>
      <c r="D68" s="15" t="s">
        <v>168</v>
      </c>
      <c r="E68" s="15" t="s">
        <v>297</v>
      </c>
      <c r="F68" s="15" t="s">
        <v>192</v>
      </c>
    </row>
    <row r="69" spans="1:6" x14ac:dyDescent="0.25">
      <c r="A69" s="16" t="s">
        <v>265</v>
      </c>
      <c r="B69" s="22">
        <v>94</v>
      </c>
      <c r="C69" s="16" t="s">
        <v>265</v>
      </c>
      <c r="D69" s="15" t="s">
        <v>171</v>
      </c>
      <c r="E69" s="15" t="s">
        <v>298</v>
      </c>
      <c r="F69" s="15" t="s">
        <v>193</v>
      </c>
    </row>
    <row r="70" spans="1:6" x14ac:dyDescent="0.25">
      <c r="A70" s="16" t="s">
        <v>266</v>
      </c>
      <c r="B70" s="22">
        <v>75</v>
      </c>
      <c r="C70" s="16" t="s">
        <v>266</v>
      </c>
      <c r="D70" s="15" t="s">
        <v>164</v>
      </c>
      <c r="E70" s="15" t="s">
        <v>299</v>
      </c>
      <c r="F70" s="15" t="s">
        <v>194</v>
      </c>
    </row>
    <row r="71" spans="1:6" x14ac:dyDescent="0.25">
      <c r="A71" s="16" t="s">
        <v>267</v>
      </c>
      <c r="B71" s="22">
        <v>34</v>
      </c>
      <c r="C71" s="16" t="s">
        <v>267</v>
      </c>
      <c r="D71" s="15" t="s">
        <v>165</v>
      </c>
      <c r="E71" s="15" t="s">
        <v>300</v>
      </c>
      <c r="F71" s="15" t="s">
        <v>195</v>
      </c>
    </row>
    <row r="72" spans="1:6" x14ac:dyDescent="0.25">
      <c r="A72" s="16" t="s">
        <v>268</v>
      </c>
      <c r="B72" s="22">
        <v>35</v>
      </c>
      <c r="C72" s="16" t="s">
        <v>268</v>
      </c>
      <c r="D72" s="15" t="s">
        <v>170</v>
      </c>
      <c r="E72" s="15" t="s">
        <v>301</v>
      </c>
      <c r="F72" s="15" t="s">
        <v>196</v>
      </c>
    </row>
    <row r="73" spans="1:6" x14ac:dyDescent="0.25">
      <c r="A73" s="16" t="s">
        <v>269</v>
      </c>
      <c r="B73" s="22">
        <v>38</v>
      </c>
      <c r="C73" s="16" t="s">
        <v>269</v>
      </c>
      <c r="D73" s="15" t="s">
        <v>163</v>
      </c>
      <c r="E73" s="15" t="s">
        <v>302</v>
      </c>
      <c r="F73" s="15" t="s">
        <v>197</v>
      </c>
    </row>
    <row r="74" spans="1:6" x14ac:dyDescent="0.25">
      <c r="A74" s="16" t="s">
        <v>270</v>
      </c>
      <c r="B74" s="22">
        <v>39</v>
      </c>
      <c r="C74" s="16" t="s">
        <v>270</v>
      </c>
      <c r="D74" s="15" t="s">
        <v>168</v>
      </c>
      <c r="E74" s="15" t="s">
        <v>303</v>
      </c>
      <c r="F74" s="15" t="s">
        <v>198</v>
      </c>
    </row>
    <row r="75" spans="1:6" x14ac:dyDescent="0.25">
      <c r="A75" s="16" t="s">
        <v>271</v>
      </c>
      <c r="B75" s="22">
        <v>87</v>
      </c>
      <c r="C75" s="16" t="s">
        <v>271</v>
      </c>
      <c r="D75" s="15" t="s">
        <v>165</v>
      </c>
      <c r="E75" s="15" t="s">
        <v>304</v>
      </c>
      <c r="F75" s="15" t="s">
        <v>199</v>
      </c>
    </row>
    <row r="76" spans="1:6" x14ac:dyDescent="0.25">
      <c r="A76" s="16" t="s">
        <v>272</v>
      </c>
      <c r="B76" s="22">
        <v>44</v>
      </c>
      <c r="C76" s="16" t="s">
        <v>272</v>
      </c>
      <c r="D76" s="15" t="s">
        <v>167</v>
      </c>
      <c r="E76" s="15" t="s">
        <v>305</v>
      </c>
      <c r="F76" s="15" t="s">
        <v>200</v>
      </c>
    </row>
    <row r="77" spans="1:6" x14ac:dyDescent="0.25">
      <c r="A77" s="16" t="s">
        <v>273</v>
      </c>
      <c r="B77" s="22">
        <v>42</v>
      </c>
      <c r="C77" s="16" t="s">
        <v>273</v>
      </c>
      <c r="D77" s="15" t="s">
        <v>169</v>
      </c>
      <c r="E77" s="15" t="s">
        <v>306</v>
      </c>
      <c r="F77" s="15" t="s">
        <v>201</v>
      </c>
    </row>
    <row r="78" spans="1:6" x14ac:dyDescent="0.25">
      <c r="A78" s="16" t="s">
        <v>274</v>
      </c>
      <c r="B78" s="22">
        <v>7</v>
      </c>
      <c r="C78" s="16" t="s">
        <v>274</v>
      </c>
      <c r="D78" s="15" t="s">
        <v>163</v>
      </c>
      <c r="E78" s="15" t="s">
        <v>307</v>
      </c>
      <c r="F78" s="15" t="s">
        <v>177</v>
      </c>
    </row>
    <row r="79" spans="1:6" x14ac:dyDescent="0.25">
      <c r="A79" s="16" t="s">
        <v>275</v>
      </c>
      <c r="B79" s="22">
        <v>65</v>
      </c>
      <c r="C79" s="16" t="s">
        <v>275</v>
      </c>
      <c r="D79" s="15" t="s">
        <v>169</v>
      </c>
      <c r="E79" s="15" t="s">
        <v>206</v>
      </c>
      <c r="F79" s="15" t="s">
        <v>207</v>
      </c>
    </row>
    <row r="80" spans="1:6" x14ac:dyDescent="0.25">
      <c r="A80" s="16" t="s">
        <v>276</v>
      </c>
      <c r="B80" s="22">
        <v>67</v>
      </c>
      <c r="C80" s="16" t="s">
        <v>276</v>
      </c>
      <c r="D80" s="15" t="s">
        <v>168</v>
      </c>
      <c r="E80" s="15" t="s">
        <v>308</v>
      </c>
      <c r="F80" s="15" t="s">
        <v>208</v>
      </c>
    </row>
    <row r="81" spans="1:6" x14ac:dyDescent="0.25">
      <c r="A81" s="16" t="s">
        <v>277</v>
      </c>
      <c r="B81" s="22">
        <v>81</v>
      </c>
      <c r="C81" s="16" t="s">
        <v>277</v>
      </c>
      <c r="D81" s="15" t="s">
        <v>167</v>
      </c>
      <c r="E81" s="15" t="s">
        <v>309</v>
      </c>
      <c r="F81" s="15" t="s">
        <v>209</v>
      </c>
    </row>
    <row r="82" spans="1:6" x14ac:dyDescent="0.25">
      <c r="A82" s="16" t="s">
        <v>278</v>
      </c>
      <c r="B82" s="22">
        <v>85</v>
      </c>
      <c r="C82" s="16" t="s">
        <v>278</v>
      </c>
      <c r="D82" s="15" t="s">
        <v>165</v>
      </c>
      <c r="E82" s="15" t="s">
        <v>204</v>
      </c>
      <c r="F82" s="15" t="s">
        <v>205</v>
      </c>
    </row>
    <row r="83" spans="1:6" x14ac:dyDescent="0.25">
      <c r="A83" s="16" t="s">
        <v>279</v>
      </c>
      <c r="B83" s="22">
        <v>84</v>
      </c>
      <c r="C83" s="16" t="s">
        <v>279</v>
      </c>
      <c r="D83" s="15" t="s">
        <v>167</v>
      </c>
      <c r="E83" s="15" t="s">
        <v>202</v>
      </c>
      <c r="F83" s="15" t="s">
        <v>203</v>
      </c>
    </row>
    <row r="84" spans="1:6" x14ac:dyDescent="0.25">
      <c r="A84" s="16" t="s">
        <v>310</v>
      </c>
      <c r="B84" s="22">
        <v>26</v>
      </c>
      <c r="C84" s="16" t="s">
        <v>310</v>
      </c>
      <c r="D84" s="15" t="s">
        <v>163</v>
      </c>
      <c r="E84" s="15" t="s">
        <v>210</v>
      </c>
      <c r="F84" s="15" t="s">
        <v>211</v>
      </c>
    </row>
    <row r="85" spans="1:6" x14ac:dyDescent="0.25">
      <c r="A85" s="16" t="s">
        <v>280</v>
      </c>
      <c r="B85" s="22">
        <v>86</v>
      </c>
      <c r="C85" s="16" t="s">
        <v>280</v>
      </c>
      <c r="D85" s="15" t="s">
        <v>170</v>
      </c>
      <c r="E85" s="15" t="s">
        <v>212</v>
      </c>
      <c r="F85" s="15" t="s">
        <v>213</v>
      </c>
    </row>
    <row r="86" spans="1:6" x14ac:dyDescent="0.25">
      <c r="A86" s="16" t="s">
        <v>281</v>
      </c>
      <c r="B86" s="22">
        <v>68</v>
      </c>
      <c r="C86" s="16" t="s">
        <v>281</v>
      </c>
      <c r="D86" s="15" t="s">
        <v>164</v>
      </c>
      <c r="E86" s="15" t="s">
        <v>214</v>
      </c>
      <c r="F86" s="15" t="s">
        <v>215</v>
      </c>
    </row>
    <row r="87" spans="1:6" x14ac:dyDescent="0.25">
      <c r="A87" s="16" t="s">
        <v>282</v>
      </c>
      <c r="B87" s="22">
        <v>66</v>
      </c>
      <c r="C87" s="16" t="s">
        <v>282</v>
      </c>
      <c r="D87" s="15" t="s">
        <v>171</v>
      </c>
      <c r="E87" s="15" t="s">
        <v>216</v>
      </c>
      <c r="F87" s="15" t="s">
        <v>217</v>
      </c>
    </row>
    <row r="88" spans="1:6" x14ac:dyDescent="0.25">
      <c r="A88" s="16" t="s">
        <v>28</v>
      </c>
      <c r="B88" s="22">
        <v>96</v>
      </c>
      <c r="C88" s="16" t="s">
        <v>28</v>
      </c>
      <c r="D88" s="15" t="s">
        <v>163</v>
      </c>
      <c r="E88" s="15" t="s">
        <v>80</v>
      </c>
      <c r="F88" s="15" t="s">
        <v>249</v>
      </c>
    </row>
    <row r="89" spans="1:6" x14ac:dyDescent="0.25">
      <c r="A89" s="26"/>
    </row>
  </sheetData>
  <sheetProtection algorithmName="SHA-512" hashValue="xs+9kurPkADTcqHfrE7VF40I8npjo45WMWAwA3T62Olb0cBfgEnx81zgqIRAaJBfVU/8So2rP6xJQG3AUIWYug==" saltValue="O7FdN15A8xmwDBIBV+MeYw==" spinCount="100000" sheet="1" objects="1" scenarios="1"/>
  <sortState ref="B2:E55">
    <sortCondition ref="B1"/>
  </sortState>
  <hyperlinks>
    <hyperlink ref="C7" location="DIRAF!A1" display="DIRAF" xr:uid="{00000000-0004-0000-0300-000000000000}"/>
    <hyperlink ref="C12" location="DEAMA!A1" display="DEAMA" xr:uid="{00000000-0004-0000-0300-000001000000}"/>
    <hyperlink ref="C13" location="DEARA!A1" display="DEARA" xr:uid="{00000000-0004-0000-0300-000002000000}"/>
    <hyperlink ref="C14" location="DECAQ!A1" display="DECAQ" xr:uid="{00000000-0004-0000-0300-000003000000}"/>
    <hyperlink ref="C15" location="DECAS!A1" display="DECAS" xr:uid="{00000000-0004-0000-0300-000004000000}"/>
    <hyperlink ref="C16" location="DECES!A1" display="DECES" xr:uid="{00000000-0004-0000-0300-000005000000}"/>
    <hyperlink ref="C17" location="DECHO!A1" display="DECHO" xr:uid="{00000000-0004-0000-0300-000006000000}"/>
    <hyperlink ref="C18" location="DECUN!A1" display="DECUN" xr:uid="{00000000-0004-0000-0300-000007000000}"/>
    <hyperlink ref="C19" location="DEGUA!A1" display="DEGUA" xr:uid="{00000000-0004-0000-0300-000008000000}"/>
    <hyperlink ref="C20" location="DEGUN!A1" display="DEGUN" xr:uid="{00000000-0004-0000-0300-000009000000}"/>
    <hyperlink ref="C21" location="DEGUV!A1" display="DEGUV" xr:uid="{00000000-0004-0000-0300-00000A000000}"/>
    <hyperlink ref="C22" location="DEPUY!A1" display="DEPUY" xr:uid="{00000000-0004-0000-0300-00000B000000}"/>
    <hyperlink ref="C23" location="DEQUI!A1" display="DEQUI" xr:uid="{00000000-0004-0000-0300-00000C000000}"/>
    <hyperlink ref="C24" location="DESAP!A1" display="DESAP" xr:uid="{00000000-0004-0000-0300-00000D000000}"/>
    <hyperlink ref="C25" location="DESUC!A1" display="DESUC" xr:uid="{00000000-0004-0000-0300-00000E000000}"/>
    <hyperlink ref="C26" location="DEURA!A1" display="DEURA" xr:uid="{00000000-0004-0000-0300-00000F000000}"/>
    <hyperlink ref="C27" location="DEVIC!A1" display="DEVIC" xr:uid="{00000000-0004-0000-0300-000010000000}"/>
    <hyperlink ref="C6" location="DIASE!A1" display="DIASE" xr:uid="{00000000-0004-0000-0300-000011000000}"/>
    <hyperlink ref="C8" location="DIBIE!A1" display="DIBIE" xr:uid="{00000000-0004-0000-0300-000012000000}"/>
    <hyperlink ref="C37" location="DICAR!A1" display="DICAR" xr:uid="{00000000-0004-0000-0300-000013000000}"/>
    <hyperlink ref="C4" location="DIJIN!A1" display="DIJIN" xr:uid="{00000000-0004-0000-0300-000014000000}"/>
    <hyperlink ref="C43" location="DINAE!A1" display="DINAE" xr:uid="{00000000-0004-0000-0300-000015000000}"/>
    <hyperlink ref="C5" location="DIPOL!A1" display="DIPOL" xr:uid="{00000000-0004-0000-0300-000016000000}"/>
    <hyperlink ref="C42" location="DIPRO!A1" display="DIPRO" xr:uid="{00000000-0004-0000-0300-000017000000}"/>
    <hyperlink ref="C3" location="DIRAN!A1" display="DIRAN" xr:uid="{00000000-0004-0000-0300-000018000000}"/>
    <hyperlink ref="C35" location="DITRA!A1" display="DITRA" xr:uid="{00000000-0004-0000-0300-000019000000}"/>
    <hyperlink ref="C36" location="ECSAN!A1" display="ECSAN" xr:uid="{00000000-0004-0000-0300-00001A000000}"/>
    <hyperlink ref="C34" location="ESAVI!A1" display="ESAVI" xr:uid="{00000000-0004-0000-0300-00001B000000}"/>
    <hyperlink ref="C29" location="ESBOL!A1" display="ESBOL" xr:uid="{00000000-0004-0000-0300-00001C000000}"/>
    <hyperlink ref="C30" location="ESCAR!A1" display="ESCAR" xr:uid="{00000000-0004-0000-0300-00001D000000}"/>
    <hyperlink ref="C31" location="ESJIM!A1" display="ESJIM" xr:uid="{00000000-0004-0000-0300-00001E000000}"/>
    <hyperlink ref="C28" location="ESPOL!A1" display="ESPOL" xr:uid="{00000000-0004-0000-0300-00001F000000}"/>
    <hyperlink ref="C32" location="ESSUM!A1" display="ESSUM" xr:uid="{00000000-0004-0000-0300-000020000000}"/>
    <hyperlink ref="C33" location="ESVEL!A1" display="ESVEL" xr:uid="{00000000-0004-0000-0300-000021000000}"/>
    <hyperlink ref="C39" location="MEBAR!A1" display="MEBAR" xr:uid="{00000000-0004-0000-0300-000022000000}"/>
    <hyperlink ref="C9" location="MEBOG!A1" display="MEBOG" xr:uid="{00000000-0004-0000-0300-000023000000}"/>
    <hyperlink ref="C40" location="MEBUC!A1" display="MEBUC" xr:uid="{00000000-0004-0000-0300-000024000000}"/>
    <hyperlink ref="C10" location="MECAL!A1" display="MECAL" xr:uid="{00000000-0004-0000-0300-000025000000}"/>
    <hyperlink ref="C38" location="MECAR!A1" display="MECAR" xr:uid="{00000000-0004-0000-0300-000026000000}"/>
    <hyperlink ref="C41" location="MECUC!A1" display="MECUC" xr:uid="{00000000-0004-0000-0300-000027000000}"/>
    <hyperlink ref="C49" location="MEMAZ!A1" display="MEMAZ" xr:uid="{00000000-0004-0000-0300-000028000000}"/>
    <hyperlink ref="C50" location="MEMOT!A1" display="MEMOT" xr:uid="{00000000-0004-0000-0300-000029000000}"/>
    <hyperlink ref="C51" location="MENEV!A1" display="MENEV" xr:uid="{00000000-0004-0000-0300-00002A000000}"/>
    <hyperlink ref="C52" location="MEPAS!A1" display="MEPAS" xr:uid="{00000000-0004-0000-0300-00002B000000}"/>
    <hyperlink ref="C44" location="MEPER!A1" display="MEPER" xr:uid="{00000000-0004-0000-0300-00002C000000}"/>
    <hyperlink ref="C47" location="MESAN!A1" display="MESAN" xr:uid="{00000000-0004-0000-0300-00002D000000}"/>
    <hyperlink ref="C45" location="METIB!A1" display="METIB" xr:uid="{00000000-0004-0000-0300-00002E000000}"/>
    <hyperlink ref="C53" location="METUN!A1" display="METUN" xr:uid="{00000000-0004-0000-0300-00002F000000}"/>
    <hyperlink ref="C11" location="MEVAL!A1" display="MEVAL" xr:uid="{00000000-0004-0000-0300-000030000000}"/>
    <hyperlink ref="C46" location="MEVIL!A1" display="MEVIL" xr:uid="{00000000-0004-0000-0300-000031000000}"/>
    <hyperlink ref="C48" location="MEPOY!A1" display="MEPOY" xr:uid="{00000000-0004-0000-0300-000032000000}"/>
    <hyperlink ref="A7" location="DIRAF!A1" display="DIRAF" xr:uid="{00000000-0004-0000-0300-000033000000}"/>
    <hyperlink ref="A12" location="DEAMA!A1" display="DEAMA" xr:uid="{00000000-0004-0000-0300-000034000000}"/>
    <hyperlink ref="A13" location="DEARA!A1" display="DEARA" xr:uid="{00000000-0004-0000-0300-000035000000}"/>
    <hyperlink ref="A14" location="DECAQ!A1" display="DECAQ" xr:uid="{00000000-0004-0000-0300-000036000000}"/>
    <hyperlink ref="A15" location="DECAS!A1" display="DECAS" xr:uid="{00000000-0004-0000-0300-000037000000}"/>
    <hyperlink ref="A16" location="DECES!A1" display="DECES" xr:uid="{00000000-0004-0000-0300-000038000000}"/>
    <hyperlink ref="A17" location="DECHO!A1" display="DECHO" xr:uid="{00000000-0004-0000-0300-000039000000}"/>
    <hyperlink ref="A18" location="DECUN!A1" display="DECUN" xr:uid="{00000000-0004-0000-0300-00003A000000}"/>
    <hyperlink ref="A19" location="DEGUA!A1" display="DEGUA" xr:uid="{00000000-0004-0000-0300-00003B000000}"/>
    <hyperlink ref="A20" location="DEGUN!A1" display="DEGUN" xr:uid="{00000000-0004-0000-0300-00003C000000}"/>
    <hyperlink ref="A21" location="DEGUV!A1" display="DEGUV" xr:uid="{00000000-0004-0000-0300-00003D000000}"/>
    <hyperlink ref="A22" location="DEPUY!A1" display="DEPUY" xr:uid="{00000000-0004-0000-0300-00003E000000}"/>
    <hyperlink ref="A23" location="DEQUI!A1" display="DEQUI" xr:uid="{00000000-0004-0000-0300-00003F000000}"/>
    <hyperlink ref="A24" location="DESAP!A1" display="DESAP" xr:uid="{00000000-0004-0000-0300-000040000000}"/>
    <hyperlink ref="A25" location="DESUC!A1" display="DESUC" xr:uid="{00000000-0004-0000-0300-000041000000}"/>
    <hyperlink ref="A26" location="DEURA!A1" display="DEURA" xr:uid="{00000000-0004-0000-0300-000042000000}"/>
    <hyperlink ref="A27" location="DEVIC!A1" display="DEVIC" xr:uid="{00000000-0004-0000-0300-000043000000}"/>
    <hyperlink ref="A6" location="DIASE!A1" display="DIASE" xr:uid="{00000000-0004-0000-0300-000044000000}"/>
    <hyperlink ref="A8" location="DIBIE!A1" display="DIBIE" xr:uid="{00000000-0004-0000-0300-000045000000}"/>
    <hyperlink ref="A37" location="DICAR!A1" display="DICAR" xr:uid="{00000000-0004-0000-0300-000046000000}"/>
    <hyperlink ref="A4" location="DIJIN!A1" display="DIJIN" xr:uid="{00000000-0004-0000-0300-000047000000}"/>
    <hyperlink ref="A43" location="DINAE!A1" display="DINAE" xr:uid="{00000000-0004-0000-0300-000048000000}"/>
    <hyperlink ref="A5" location="DIPOL!A1" display="DIPOL" xr:uid="{00000000-0004-0000-0300-000049000000}"/>
    <hyperlink ref="A42" location="DIPRO!A1" display="DIPRO" xr:uid="{00000000-0004-0000-0300-00004A000000}"/>
    <hyperlink ref="A3" location="DIRAN!A1" display="DIRAN" xr:uid="{00000000-0004-0000-0300-00004B000000}"/>
    <hyperlink ref="A35" location="DITRA!A1" display="DITRA" xr:uid="{00000000-0004-0000-0300-00004C000000}"/>
    <hyperlink ref="A36" location="ECSAN!A1" display="ECSAN" xr:uid="{00000000-0004-0000-0300-00004D000000}"/>
    <hyperlink ref="A34" location="ESAVI!A1" display="ESAVI" xr:uid="{00000000-0004-0000-0300-00004E000000}"/>
    <hyperlink ref="A29" location="ESBOL!A1" display="ESBOL" xr:uid="{00000000-0004-0000-0300-00004F000000}"/>
    <hyperlink ref="A30" location="ESCAR!A1" display="ESCAR" xr:uid="{00000000-0004-0000-0300-000050000000}"/>
    <hyperlink ref="A31" location="ESJIM!A1" display="ESJIM" xr:uid="{00000000-0004-0000-0300-000051000000}"/>
    <hyperlink ref="A28" location="ESPOL!A1" display="ESPOL" xr:uid="{00000000-0004-0000-0300-000052000000}"/>
    <hyperlink ref="A32" location="ESSUM!A1" display="ESSUM" xr:uid="{00000000-0004-0000-0300-000053000000}"/>
    <hyperlink ref="A33" location="ESVEL!A1" display="ESVEL" xr:uid="{00000000-0004-0000-0300-000054000000}"/>
    <hyperlink ref="A39" location="MEBAR!A1" display="MEBAR" xr:uid="{00000000-0004-0000-0300-000055000000}"/>
    <hyperlink ref="A9" location="MEBOG!A1" display="MEBOG" xr:uid="{00000000-0004-0000-0300-000056000000}"/>
    <hyperlink ref="A40" location="MEBUC!A1" display="MEBUC" xr:uid="{00000000-0004-0000-0300-000057000000}"/>
    <hyperlink ref="A10" location="MECAL!A1" display="MECAL" xr:uid="{00000000-0004-0000-0300-000058000000}"/>
    <hyperlink ref="A38" location="MECAR!A1" display="MECAR" xr:uid="{00000000-0004-0000-0300-000059000000}"/>
    <hyperlink ref="A41" location="MECUC!A1" display="MECUC" xr:uid="{00000000-0004-0000-0300-00005A000000}"/>
    <hyperlink ref="A49" location="MEMAZ!A1" display="MEMAZ" xr:uid="{00000000-0004-0000-0300-00005B000000}"/>
    <hyperlink ref="A50" location="MEMOT!A1" display="MEMOT" xr:uid="{00000000-0004-0000-0300-00005C000000}"/>
    <hyperlink ref="A51" location="MENEV!A1" display="MENEV" xr:uid="{00000000-0004-0000-0300-00005D000000}"/>
    <hyperlink ref="A52" location="MEPAS!A1" display="MEPAS" xr:uid="{00000000-0004-0000-0300-00005E000000}"/>
    <hyperlink ref="A44" location="MEPER!A1" display="MEPER" xr:uid="{00000000-0004-0000-0300-00005F000000}"/>
    <hyperlink ref="A47" location="MESAN!A1" display="MESAN" xr:uid="{00000000-0004-0000-0300-000060000000}"/>
    <hyperlink ref="A45" location="METIB!A1" display="METIB" xr:uid="{00000000-0004-0000-0300-000061000000}"/>
    <hyperlink ref="A53" location="METUN!A1" display="METUN" xr:uid="{00000000-0004-0000-0300-000062000000}"/>
    <hyperlink ref="A11" location="MEVAL!A1" display="MEVAL" xr:uid="{00000000-0004-0000-0300-000063000000}"/>
    <hyperlink ref="A46" location="MEVIL!A1" display="MEVIL" xr:uid="{00000000-0004-0000-0300-000064000000}"/>
    <hyperlink ref="A48" location="MEPOY!A1" display="MEPOY" xr:uid="{00000000-0004-0000-0300-000065000000}"/>
  </hyperlinks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GENERAL</vt:lpstr>
      <vt:lpstr>FICHA PRESEN</vt:lpstr>
      <vt:lpstr>CONVENCIONES</vt:lpstr>
      <vt:lpstr>UNIDADES</vt:lpstr>
      <vt:lpstr>UNIDADES!_FilterDatabase</vt:lpstr>
      <vt:lpstr>'FICHA PRESEN'!Área_de_impresión</vt:lpstr>
      <vt:lpstr>UNIDADES!Área_de_impresión</vt:lpstr>
      <vt:lpstr>'FICHA PRESEN'!Títulos_a_imprimir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YULESBY HERNANDEZ CANTILLO</dc:creator>
  <cp:lastModifiedBy>DESAP - CAROLINA ELIZABETH CUERVO SANCHEZ</cp:lastModifiedBy>
  <cp:lastPrinted>2018-05-02T15:38:13Z</cp:lastPrinted>
  <dcterms:created xsi:type="dcterms:W3CDTF">2018-04-27T15:58:59Z</dcterms:created>
  <dcterms:modified xsi:type="dcterms:W3CDTF">2020-01-03T00:49:19Z</dcterms:modified>
</cp:coreProperties>
</file>